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ink/ink1.xml" ContentType="application/inkml+xml"/>
  <Override PartName="/xl/ink/ink2.xml" ContentType="application/inkml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universitytasmania-my.sharepoint.com/personal/cathryn_wynnedwards_utas_edu_au/Documents/sediment trap lab proc/2020_saz22/"/>
    </mc:Choice>
  </mc:AlternateContent>
  <xr:revisionPtr revIDLastSave="2522" documentId="13_ncr:1_{352B4F67-489A-4B42-BD6E-18F06D0A1E70}" xr6:coauthVersionLast="47" xr6:coauthVersionMax="47" xr10:uidLastSave="{95952E4C-0B00-4363-874D-17779A310E99}"/>
  <bookViews>
    <workbookView xWindow="0" yWindow="5565" windowWidth="38700" windowHeight="15435" firstSheet="10" activeTab="14" xr2:uid="{00000000-000D-0000-FFFF-FFFF00000000}"/>
  </bookViews>
  <sheets>
    <sheet name="cup photos labels" sheetId="4" r:id="rId1"/>
    <sheet name="prep brines" sheetId="1" r:id="rId2"/>
    <sheet name="Traps and Logs" sheetId="3" r:id="rId3"/>
    <sheet name="notes" sheetId="2" r:id="rId4"/>
    <sheet name="sample processing comments" sheetId="5" r:id="rId5"/>
    <sheet name="pH_Sal" sheetId="6" r:id="rId6"/>
    <sheet name="mass filt" sheetId="9" r:id="rId7"/>
    <sheet name="PIC weights" sheetId="11" r:id="rId8"/>
    <sheet name="PIC data" sheetId="12" r:id="rId9"/>
    <sheet name="CHN raw data" sheetId="10" r:id="rId10"/>
    <sheet name="BSi raw data and calculations" sheetId="13" r:id="rId11"/>
    <sheet name="BSi raw data repeats" sheetId="17" r:id="rId12"/>
    <sheet name="main" sheetId="7" r:id="rId13"/>
    <sheet name="report_47_flagged" sheetId="15" r:id="rId14"/>
    <sheet name="netcdf_format" sheetId="14" r:id="rId15"/>
    <sheet name="depths" sheetId="16" r:id="rId16"/>
    <sheet name="plots" sheetId="8" r:id="rId17"/>
  </sheets>
  <definedNames>
    <definedName name="_xlnm.Print_Area" localSheetId="0">'cup photos labels'!$A$1:$M$42</definedName>
    <definedName name="_xlnm.Print_Area" localSheetId="1">'prep brines'!$A$1:$C$39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6" l="1"/>
  <c r="B2" i="16"/>
  <c r="AM26" i="15"/>
  <c r="AM25" i="15"/>
  <c r="AM24" i="15"/>
  <c r="AM23" i="15"/>
  <c r="AM22" i="15"/>
  <c r="AM21" i="15"/>
  <c r="AM20" i="15"/>
  <c r="AM19" i="15"/>
  <c r="AM18" i="15"/>
  <c r="AM17" i="15"/>
  <c r="AM16" i="15"/>
  <c r="AM15" i="15"/>
  <c r="AM14" i="15"/>
  <c r="AM13" i="15"/>
  <c r="AM12" i="15"/>
  <c r="AM11" i="15"/>
  <c r="AM10" i="15"/>
  <c r="AM9" i="15"/>
  <c r="AM8" i="15"/>
  <c r="AM7" i="15"/>
  <c r="AM6" i="15"/>
  <c r="X8" i="7"/>
  <c r="W7" i="7"/>
  <c r="V7" i="7"/>
  <c r="AK75" i="14"/>
  <c r="AH75" i="14"/>
  <c r="AE75" i="14"/>
  <c r="AB75" i="14"/>
  <c r="Y75" i="14"/>
  <c r="V75" i="14"/>
  <c r="S75" i="14"/>
  <c r="P75" i="14"/>
  <c r="I75" i="14"/>
  <c r="C75" i="14"/>
  <c r="AK74" i="14"/>
  <c r="AH74" i="14"/>
  <c r="AE74" i="14"/>
  <c r="AB74" i="14"/>
  <c r="Y74" i="14"/>
  <c r="V74" i="14"/>
  <c r="S74" i="14"/>
  <c r="P74" i="14"/>
  <c r="I74" i="14"/>
  <c r="C74" i="14"/>
  <c r="AK73" i="14"/>
  <c r="AH73" i="14"/>
  <c r="AE73" i="14"/>
  <c r="AB73" i="14"/>
  <c r="Y73" i="14"/>
  <c r="V73" i="14"/>
  <c r="S73" i="14"/>
  <c r="P73" i="14"/>
  <c r="I73" i="14"/>
  <c r="C73" i="14"/>
  <c r="AK72" i="14"/>
  <c r="AH72" i="14"/>
  <c r="AE72" i="14"/>
  <c r="AB72" i="14"/>
  <c r="Y72" i="14"/>
  <c r="V72" i="14"/>
  <c r="S72" i="14"/>
  <c r="P72" i="14"/>
  <c r="I72" i="14"/>
  <c r="C72" i="14"/>
  <c r="AK71" i="14"/>
  <c r="AH71" i="14"/>
  <c r="AE71" i="14"/>
  <c r="AB71" i="14"/>
  <c r="Y71" i="14"/>
  <c r="V71" i="14"/>
  <c r="S71" i="14"/>
  <c r="P71" i="14"/>
  <c r="I71" i="14"/>
  <c r="C71" i="14"/>
  <c r="AK70" i="14"/>
  <c r="AH70" i="14"/>
  <c r="AE70" i="14"/>
  <c r="AB70" i="14"/>
  <c r="Y70" i="14"/>
  <c r="V70" i="14"/>
  <c r="S70" i="14"/>
  <c r="P70" i="14"/>
  <c r="I70" i="14"/>
  <c r="C70" i="14"/>
  <c r="AK69" i="14"/>
  <c r="AH69" i="14"/>
  <c r="AE69" i="14"/>
  <c r="AB69" i="14"/>
  <c r="Y69" i="14"/>
  <c r="V69" i="14"/>
  <c r="S69" i="14"/>
  <c r="P69" i="14"/>
  <c r="I69" i="14"/>
  <c r="C69" i="14"/>
  <c r="AK68" i="14"/>
  <c r="AH68" i="14"/>
  <c r="AE68" i="14"/>
  <c r="AB68" i="14"/>
  <c r="Y68" i="14"/>
  <c r="V68" i="14"/>
  <c r="S68" i="14"/>
  <c r="P68" i="14"/>
  <c r="I68" i="14"/>
  <c r="C68" i="14"/>
  <c r="AK67" i="14"/>
  <c r="AH67" i="14"/>
  <c r="AE67" i="14"/>
  <c r="AB67" i="14"/>
  <c r="Y67" i="14"/>
  <c r="V67" i="14"/>
  <c r="S67" i="14"/>
  <c r="P67" i="14"/>
  <c r="I67" i="14"/>
  <c r="C67" i="14"/>
  <c r="AK66" i="14"/>
  <c r="AH66" i="14"/>
  <c r="AE66" i="14"/>
  <c r="AB66" i="14"/>
  <c r="Y66" i="14"/>
  <c r="V66" i="14"/>
  <c r="S66" i="14"/>
  <c r="P66" i="14"/>
  <c r="I66" i="14"/>
  <c r="C66" i="14"/>
  <c r="AK65" i="14"/>
  <c r="AH65" i="14"/>
  <c r="AE65" i="14"/>
  <c r="AB65" i="14"/>
  <c r="Y65" i="14"/>
  <c r="V65" i="14"/>
  <c r="S65" i="14"/>
  <c r="P65" i="14"/>
  <c r="I65" i="14"/>
  <c r="C65" i="14"/>
  <c r="AK64" i="14"/>
  <c r="AH64" i="14"/>
  <c r="AE64" i="14"/>
  <c r="AB64" i="14"/>
  <c r="Y64" i="14"/>
  <c r="V64" i="14"/>
  <c r="S64" i="14"/>
  <c r="P64" i="14"/>
  <c r="I64" i="14"/>
  <c r="C64" i="14"/>
  <c r="AK63" i="14"/>
  <c r="AH63" i="14"/>
  <c r="AE63" i="14"/>
  <c r="AB63" i="14"/>
  <c r="Y63" i="14"/>
  <c r="V63" i="14"/>
  <c r="S63" i="14"/>
  <c r="P63" i="14"/>
  <c r="I63" i="14"/>
  <c r="C63" i="14"/>
  <c r="AK62" i="14"/>
  <c r="AH62" i="14"/>
  <c r="AE62" i="14"/>
  <c r="AB62" i="14"/>
  <c r="Y62" i="14"/>
  <c r="V62" i="14"/>
  <c r="S62" i="14"/>
  <c r="P62" i="14"/>
  <c r="I62" i="14"/>
  <c r="C62" i="14"/>
  <c r="AK61" i="14"/>
  <c r="AH61" i="14"/>
  <c r="AE61" i="14"/>
  <c r="AB61" i="14"/>
  <c r="Y61" i="14"/>
  <c r="V61" i="14"/>
  <c r="S61" i="14"/>
  <c r="P61" i="14"/>
  <c r="I61" i="14"/>
  <c r="C61" i="14"/>
  <c r="AK60" i="14"/>
  <c r="AH60" i="14"/>
  <c r="AE60" i="14"/>
  <c r="AB60" i="14"/>
  <c r="Y60" i="14"/>
  <c r="V60" i="14"/>
  <c r="S60" i="14"/>
  <c r="P60" i="14"/>
  <c r="I60" i="14"/>
  <c r="C60" i="14"/>
  <c r="AK59" i="14"/>
  <c r="AH59" i="14"/>
  <c r="AE59" i="14"/>
  <c r="AB59" i="14"/>
  <c r="Y59" i="14"/>
  <c r="V59" i="14"/>
  <c r="S59" i="14"/>
  <c r="P59" i="14"/>
  <c r="I59" i="14"/>
  <c r="C59" i="14"/>
  <c r="AK58" i="14"/>
  <c r="AH58" i="14"/>
  <c r="AE58" i="14"/>
  <c r="AB58" i="14"/>
  <c r="Y58" i="14"/>
  <c r="V58" i="14"/>
  <c r="S58" i="14"/>
  <c r="P58" i="14"/>
  <c r="I58" i="14"/>
  <c r="C58" i="14"/>
  <c r="AK57" i="14"/>
  <c r="AH57" i="14"/>
  <c r="AE57" i="14"/>
  <c r="AB57" i="14"/>
  <c r="Y57" i="14"/>
  <c r="V57" i="14"/>
  <c r="S57" i="14"/>
  <c r="P57" i="14"/>
  <c r="I57" i="14"/>
  <c r="C57" i="14"/>
  <c r="AK56" i="14"/>
  <c r="AH56" i="14"/>
  <c r="AE56" i="14"/>
  <c r="AB56" i="14"/>
  <c r="Y56" i="14"/>
  <c r="V56" i="14"/>
  <c r="S56" i="14"/>
  <c r="P56" i="14"/>
  <c r="I56" i="14"/>
  <c r="C56" i="14"/>
  <c r="AK55" i="14"/>
  <c r="AH55" i="14"/>
  <c r="AE55" i="14"/>
  <c r="AB55" i="14"/>
  <c r="Y55" i="14"/>
  <c r="V55" i="14"/>
  <c r="S55" i="14"/>
  <c r="P55" i="14"/>
  <c r="I55" i="14"/>
  <c r="H55" i="14"/>
  <c r="C55" i="14"/>
  <c r="AK54" i="14"/>
  <c r="AH54" i="14"/>
  <c r="AE54" i="14"/>
  <c r="AB54" i="14"/>
  <c r="Y54" i="14"/>
  <c r="V54" i="14"/>
  <c r="S54" i="14"/>
  <c r="P54" i="14"/>
  <c r="I54" i="14"/>
  <c r="C54" i="14"/>
  <c r="AK53" i="14"/>
  <c r="AH53" i="14"/>
  <c r="AE53" i="14"/>
  <c r="AB53" i="14"/>
  <c r="Y53" i="14"/>
  <c r="V53" i="14"/>
  <c r="S53" i="14"/>
  <c r="P53" i="14"/>
  <c r="I53" i="14"/>
  <c r="C53" i="14"/>
  <c r="AK52" i="14"/>
  <c r="AH52" i="14"/>
  <c r="AE52" i="14"/>
  <c r="AB52" i="14"/>
  <c r="Y52" i="14"/>
  <c r="V52" i="14"/>
  <c r="S52" i="14"/>
  <c r="P52" i="14"/>
  <c r="I52" i="14"/>
  <c r="C52" i="14"/>
  <c r="AK51" i="14"/>
  <c r="AH51" i="14"/>
  <c r="AE51" i="14"/>
  <c r="AB51" i="14"/>
  <c r="Y51" i="14"/>
  <c r="V51" i="14"/>
  <c r="S51" i="14"/>
  <c r="P51" i="14"/>
  <c r="I51" i="14"/>
  <c r="C51" i="14"/>
  <c r="AK50" i="14"/>
  <c r="AH50" i="14"/>
  <c r="AE50" i="14"/>
  <c r="AB50" i="14"/>
  <c r="Y50" i="14"/>
  <c r="V50" i="14"/>
  <c r="S50" i="14"/>
  <c r="P50" i="14"/>
  <c r="I50" i="14"/>
  <c r="C50" i="14"/>
  <c r="AK49" i="14"/>
  <c r="AH49" i="14"/>
  <c r="AE49" i="14"/>
  <c r="AB49" i="14"/>
  <c r="Y49" i="14"/>
  <c r="V49" i="14"/>
  <c r="S49" i="14"/>
  <c r="P49" i="14"/>
  <c r="I49" i="14"/>
  <c r="C49" i="14"/>
  <c r="AK48" i="14"/>
  <c r="AH48" i="14"/>
  <c r="AE48" i="14"/>
  <c r="AB48" i="14"/>
  <c r="Y48" i="14"/>
  <c r="V48" i="14"/>
  <c r="S48" i="14"/>
  <c r="P48" i="14"/>
  <c r="I48" i="14"/>
  <c r="C48" i="14"/>
  <c r="AK47" i="14"/>
  <c r="AH47" i="14"/>
  <c r="AE47" i="14"/>
  <c r="AB47" i="14"/>
  <c r="Y47" i="14"/>
  <c r="V47" i="14"/>
  <c r="S47" i="14"/>
  <c r="P47" i="14"/>
  <c r="I47" i="14"/>
  <c r="C47" i="14"/>
  <c r="AK46" i="14"/>
  <c r="AH46" i="14"/>
  <c r="AE46" i="14"/>
  <c r="AB46" i="14"/>
  <c r="Y46" i="14"/>
  <c r="V46" i="14"/>
  <c r="S46" i="14"/>
  <c r="P46" i="14"/>
  <c r="I46" i="14"/>
  <c r="C46" i="14"/>
  <c r="AK45" i="14"/>
  <c r="AH45" i="14"/>
  <c r="AE45" i="14"/>
  <c r="AB45" i="14"/>
  <c r="Y45" i="14"/>
  <c r="V45" i="14"/>
  <c r="S45" i="14"/>
  <c r="P45" i="14"/>
  <c r="I45" i="14"/>
  <c r="C45" i="14"/>
  <c r="AK44" i="14"/>
  <c r="AH44" i="14"/>
  <c r="AE44" i="14"/>
  <c r="AB44" i="14"/>
  <c r="Y44" i="14"/>
  <c r="V44" i="14"/>
  <c r="S44" i="14"/>
  <c r="P44" i="14"/>
  <c r="I44" i="14"/>
  <c r="C44" i="14"/>
  <c r="AK43" i="14"/>
  <c r="AH43" i="14"/>
  <c r="AE43" i="14"/>
  <c r="AB43" i="14"/>
  <c r="Y43" i="14"/>
  <c r="V43" i="14"/>
  <c r="S43" i="14"/>
  <c r="P43" i="14"/>
  <c r="I43" i="14"/>
  <c r="C43" i="14"/>
  <c r="AK42" i="14"/>
  <c r="AH42" i="14"/>
  <c r="AE42" i="14"/>
  <c r="AB42" i="14"/>
  <c r="Y42" i="14"/>
  <c r="V42" i="14"/>
  <c r="S42" i="14"/>
  <c r="P42" i="14"/>
  <c r="I42" i="14"/>
  <c r="C42" i="14"/>
  <c r="AK41" i="14"/>
  <c r="AH41" i="14"/>
  <c r="AE41" i="14"/>
  <c r="AB41" i="14"/>
  <c r="Y41" i="14"/>
  <c r="V41" i="14"/>
  <c r="S41" i="14"/>
  <c r="P41" i="14"/>
  <c r="I41" i="14"/>
  <c r="C41" i="14"/>
  <c r="AK40" i="14"/>
  <c r="AH40" i="14"/>
  <c r="AE40" i="14"/>
  <c r="AB40" i="14"/>
  <c r="Y40" i="14"/>
  <c r="V40" i="14"/>
  <c r="S40" i="14"/>
  <c r="P40" i="14"/>
  <c r="I40" i="14"/>
  <c r="C40" i="14"/>
  <c r="AK39" i="14"/>
  <c r="AH39" i="14"/>
  <c r="AE39" i="14"/>
  <c r="AB39" i="14"/>
  <c r="Y39" i="14"/>
  <c r="V39" i="14"/>
  <c r="S39" i="14"/>
  <c r="P39" i="14"/>
  <c r="I39" i="14"/>
  <c r="C39" i="14"/>
  <c r="AK38" i="14"/>
  <c r="AH38" i="14"/>
  <c r="AE38" i="14"/>
  <c r="AB38" i="14"/>
  <c r="Y38" i="14"/>
  <c r="V38" i="14"/>
  <c r="S38" i="14"/>
  <c r="P38" i="14"/>
  <c r="I38" i="14"/>
  <c r="C38" i="14"/>
  <c r="AK37" i="14"/>
  <c r="AH37" i="14"/>
  <c r="AE37" i="14"/>
  <c r="AB37" i="14"/>
  <c r="Y37" i="14"/>
  <c r="V37" i="14"/>
  <c r="S37" i="14"/>
  <c r="P37" i="14"/>
  <c r="I37" i="14"/>
  <c r="C37" i="14"/>
  <c r="AK36" i="14"/>
  <c r="AH36" i="14"/>
  <c r="AE36" i="14"/>
  <c r="AB36" i="14"/>
  <c r="Y36" i="14"/>
  <c r="V36" i="14"/>
  <c r="S36" i="14"/>
  <c r="P36" i="14"/>
  <c r="I36" i="14"/>
  <c r="C36" i="14"/>
  <c r="AK35" i="14"/>
  <c r="AH35" i="14"/>
  <c r="AE35" i="14"/>
  <c r="AB35" i="14"/>
  <c r="Y35" i="14"/>
  <c r="V35" i="14"/>
  <c r="S35" i="14"/>
  <c r="P35" i="14"/>
  <c r="I35" i="14"/>
  <c r="C35" i="14"/>
  <c r="AK34" i="14"/>
  <c r="AH34" i="14"/>
  <c r="AE34" i="14"/>
  <c r="AB34" i="14"/>
  <c r="Y34" i="14"/>
  <c r="V34" i="14"/>
  <c r="S34" i="14"/>
  <c r="P34" i="14"/>
  <c r="I34" i="14"/>
  <c r="H34" i="14"/>
  <c r="C34" i="14"/>
  <c r="AK33" i="14"/>
  <c r="AH33" i="14"/>
  <c r="AE33" i="14"/>
  <c r="AB33" i="14"/>
  <c r="Y33" i="14"/>
  <c r="V33" i="14"/>
  <c r="S33" i="14"/>
  <c r="P33" i="14"/>
  <c r="I33" i="14"/>
  <c r="C33" i="14"/>
  <c r="AK32" i="14"/>
  <c r="AH32" i="14"/>
  <c r="AE32" i="14"/>
  <c r="AB32" i="14"/>
  <c r="Y32" i="14"/>
  <c r="V32" i="14"/>
  <c r="S32" i="14"/>
  <c r="P32" i="14"/>
  <c r="I32" i="14"/>
  <c r="C32" i="14"/>
  <c r="AK31" i="14"/>
  <c r="AH31" i="14"/>
  <c r="AE31" i="14"/>
  <c r="AB31" i="14"/>
  <c r="Y31" i="14"/>
  <c r="V31" i="14"/>
  <c r="S31" i="14"/>
  <c r="P31" i="14"/>
  <c r="I31" i="14"/>
  <c r="C31" i="14"/>
  <c r="AK30" i="14"/>
  <c r="AH30" i="14"/>
  <c r="AE30" i="14"/>
  <c r="AB30" i="14"/>
  <c r="Y30" i="14"/>
  <c r="V30" i="14"/>
  <c r="S30" i="14"/>
  <c r="P30" i="14"/>
  <c r="I30" i="14"/>
  <c r="C30" i="14"/>
  <c r="AK29" i="14"/>
  <c r="AH29" i="14"/>
  <c r="AE29" i="14"/>
  <c r="AB29" i="14"/>
  <c r="Y29" i="14"/>
  <c r="W29" i="14"/>
  <c r="V29" i="14"/>
  <c r="S29" i="14"/>
  <c r="P29" i="14"/>
  <c r="I29" i="14"/>
  <c r="C29" i="14"/>
  <c r="AK28" i="14"/>
  <c r="AH28" i="14"/>
  <c r="AE28" i="14"/>
  <c r="AB28" i="14"/>
  <c r="Y28" i="14"/>
  <c r="V28" i="14"/>
  <c r="S28" i="14"/>
  <c r="P28" i="14"/>
  <c r="I28" i="14"/>
  <c r="C28" i="14"/>
  <c r="AK27" i="14"/>
  <c r="AH27" i="14"/>
  <c r="AE27" i="14"/>
  <c r="AB27" i="14"/>
  <c r="Y27" i="14"/>
  <c r="V27" i="14"/>
  <c r="S27" i="14"/>
  <c r="P27" i="14"/>
  <c r="I27" i="14"/>
  <c r="C27" i="14"/>
  <c r="AK26" i="14"/>
  <c r="AH26" i="14"/>
  <c r="AE26" i="14"/>
  <c r="AB26" i="14"/>
  <c r="Y26" i="14"/>
  <c r="V26" i="14"/>
  <c r="S26" i="14"/>
  <c r="P26" i="14"/>
  <c r="I26" i="14"/>
  <c r="C26" i="14"/>
  <c r="AK25" i="14"/>
  <c r="AH25" i="14"/>
  <c r="AE25" i="14"/>
  <c r="AB25" i="14"/>
  <c r="Y25" i="14"/>
  <c r="V25" i="14"/>
  <c r="S25" i="14"/>
  <c r="P25" i="14"/>
  <c r="I25" i="14"/>
  <c r="C25" i="14"/>
  <c r="AK24" i="14"/>
  <c r="AH24" i="14"/>
  <c r="AE24" i="14"/>
  <c r="AB24" i="14"/>
  <c r="Y24" i="14"/>
  <c r="V24" i="14"/>
  <c r="S24" i="14"/>
  <c r="P24" i="14"/>
  <c r="I24" i="14"/>
  <c r="C24" i="14"/>
  <c r="AK23" i="14"/>
  <c r="AH23" i="14"/>
  <c r="AE23" i="14"/>
  <c r="AB23" i="14"/>
  <c r="Y23" i="14"/>
  <c r="V23" i="14"/>
  <c r="S23" i="14"/>
  <c r="P23" i="14"/>
  <c r="I23" i="14"/>
  <c r="C23" i="14"/>
  <c r="AK22" i="14"/>
  <c r="AH22" i="14"/>
  <c r="AE22" i="14"/>
  <c r="AB22" i="14"/>
  <c r="Y22" i="14"/>
  <c r="V22" i="14"/>
  <c r="S22" i="14"/>
  <c r="P22" i="14"/>
  <c r="I22" i="14"/>
  <c r="C22" i="14"/>
  <c r="AK21" i="14"/>
  <c r="AH21" i="14"/>
  <c r="AE21" i="14"/>
  <c r="AB21" i="14"/>
  <c r="Y21" i="14"/>
  <c r="V21" i="14"/>
  <c r="S21" i="14"/>
  <c r="P21" i="14"/>
  <c r="I21" i="14"/>
  <c r="C21" i="14"/>
  <c r="AK20" i="14"/>
  <c r="AH20" i="14"/>
  <c r="AE20" i="14"/>
  <c r="AB20" i="14"/>
  <c r="Y20" i="14"/>
  <c r="V20" i="14"/>
  <c r="S20" i="14"/>
  <c r="P20" i="14"/>
  <c r="I20" i="14"/>
  <c r="C20" i="14"/>
  <c r="AK19" i="14"/>
  <c r="AH19" i="14"/>
  <c r="AE19" i="14"/>
  <c r="AB19" i="14"/>
  <c r="Y19" i="14"/>
  <c r="V19" i="14"/>
  <c r="S19" i="14"/>
  <c r="P19" i="14"/>
  <c r="I19" i="14"/>
  <c r="C19" i="14"/>
  <c r="AK18" i="14"/>
  <c r="AH18" i="14"/>
  <c r="AE18" i="14"/>
  <c r="AB18" i="14"/>
  <c r="Y18" i="14"/>
  <c r="V18" i="14"/>
  <c r="S18" i="14"/>
  <c r="P18" i="14"/>
  <c r="I18" i="14"/>
  <c r="C18" i="14"/>
  <c r="AK17" i="14"/>
  <c r="AH17" i="14"/>
  <c r="AE17" i="14"/>
  <c r="AB17" i="14"/>
  <c r="Y17" i="14"/>
  <c r="V17" i="14"/>
  <c r="S17" i="14"/>
  <c r="P17" i="14"/>
  <c r="I17" i="14"/>
  <c r="C17" i="14"/>
  <c r="AK16" i="14"/>
  <c r="AH16" i="14"/>
  <c r="AE16" i="14"/>
  <c r="AB16" i="14"/>
  <c r="Y16" i="14"/>
  <c r="V16" i="14"/>
  <c r="S16" i="14"/>
  <c r="P16" i="14"/>
  <c r="I16" i="14"/>
  <c r="C16" i="14"/>
  <c r="AK15" i="14"/>
  <c r="AH15" i="14"/>
  <c r="AE15" i="14"/>
  <c r="AB15" i="14"/>
  <c r="Y15" i="14"/>
  <c r="V15" i="14"/>
  <c r="S15" i="14"/>
  <c r="P15" i="14"/>
  <c r="I15" i="14"/>
  <c r="C15" i="14"/>
  <c r="AK14" i="14"/>
  <c r="AH14" i="14"/>
  <c r="AE14" i="14"/>
  <c r="AB14" i="14"/>
  <c r="Y14" i="14"/>
  <c r="V14" i="14"/>
  <c r="S14" i="14"/>
  <c r="P14" i="14"/>
  <c r="I14" i="14"/>
  <c r="C14" i="14"/>
  <c r="AK13" i="14"/>
  <c r="AH13" i="14"/>
  <c r="AE13" i="14"/>
  <c r="AB13" i="14"/>
  <c r="Y13" i="14"/>
  <c r="V13" i="14"/>
  <c r="S13" i="14"/>
  <c r="P13" i="14"/>
  <c r="I13" i="14"/>
  <c r="H13" i="14"/>
  <c r="C13" i="14"/>
  <c r="AM68" i="15"/>
  <c r="D75" i="14"/>
  <c r="D68" i="15"/>
  <c r="E75" i="14"/>
  <c r="C68" i="15"/>
  <c r="H75" i="14"/>
  <c r="B68" i="15"/>
  <c r="B75" i="14"/>
  <c r="A68" i="15"/>
  <c r="A75" i="14"/>
  <c r="AM67" i="15"/>
  <c r="D74" i="14"/>
  <c r="D67" i="15"/>
  <c r="E74" i="14"/>
  <c r="C67" i="15"/>
  <c r="H74" i="14"/>
  <c r="B67" i="15"/>
  <c r="B74" i="14"/>
  <c r="A67" i="15"/>
  <c r="A74" i="14"/>
  <c r="AM66" i="15"/>
  <c r="D73" i="14"/>
  <c r="D66" i="15"/>
  <c r="E73" i="14"/>
  <c r="C66" i="15"/>
  <c r="H73" i="14"/>
  <c r="B66" i="15"/>
  <c r="B73" i="14"/>
  <c r="A66" i="15"/>
  <c r="A73" i="14"/>
  <c r="AM65" i="15"/>
  <c r="D72" i="14"/>
  <c r="D65" i="15"/>
  <c r="E72" i="14"/>
  <c r="C65" i="15"/>
  <c r="H72" i="14"/>
  <c r="B65" i="15"/>
  <c r="B72" i="14"/>
  <c r="A65" i="15"/>
  <c r="A72" i="14"/>
  <c r="AM64" i="15"/>
  <c r="D71" i="14"/>
  <c r="D64" i="15"/>
  <c r="E71" i="14"/>
  <c r="C64" i="15"/>
  <c r="H71" i="14"/>
  <c r="B64" i="15"/>
  <c r="B71" i="14"/>
  <c r="A64" i="15"/>
  <c r="A71" i="14"/>
  <c r="AM63" i="15"/>
  <c r="D70" i="14"/>
  <c r="D63" i="15"/>
  <c r="E70" i="14"/>
  <c r="C63" i="15"/>
  <c r="H70" i="14"/>
  <c r="B63" i="15"/>
  <c r="B70" i="14"/>
  <c r="A63" i="15"/>
  <c r="A70" i="14"/>
  <c r="AM62" i="15"/>
  <c r="D69" i="14"/>
  <c r="D62" i="15"/>
  <c r="E69" i="14"/>
  <c r="C62" i="15"/>
  <c r="H69" i="14"/>
  <c r="B62" i="15"/>
  <c r="B69" i="14"/>
  <c r="A62" i="15"/>
  <c r="A69" i="14"/>
  <c r="AM61" i="15"/>
  <c r="D68" i="14"/>
  <c r="D61" i="15"/>
  <c r="E68" i="14"/>
  <c r="C61" i="15"/>
  <c r="H68" i="14"/>
  <c r="B61" i="15"/>
  <c r="B68" i="14"/>
  <c r="A61" i="15"/>
  <c r="A68" i="14"/>
  <c r="AM60" i="15"/>
  <c r="D67" i="14"/>
  <c r="D60" i="15"/>
  <c r="E67" i="14"/>
  <c r="C60" i="15"/>
  <c r="H67" i="14"/>
  <c r="B60" i="15"/>
  <c r="B67" i="14"/>
  <c r="A60" i="15"/>
  <c r="A67" i="14"/>
  <c r="AM59" i="15"/>
  <c r="D66" i="14"/>
  <c r="D59" i="15"/>
  <c r="E66" i="14"/>
  <c r="C59" i="15"/>
  <c r="H66" i="14"/>
  <c r="B59" i="15"/>
  <c r="B66" i="14"/>
  <c r="A59" i="15"/>
  <c r="A66" i="14"/>
  <c r="AM58" i="15"/>
  <c r="D65" i="14"/>
  <c r="D58" i="15"/>
  <c r="E65" i="14"/>
  <c r="C58" i="15"/>
  <c r="H65" i="14"/>
  <c r="B58" i="15"/>
  <c r="B65" i="14"/>
  <c r="A58" i="15"/>
  <c r="A65" i="14"/>
  <c r="AM57" i="15"/>
  <c r="D64" i="14"/>
  <c r="D57" i="15"/>
  <c r="E64" i="14"/>
  <c r="C57" i="15"/>
  <c r="H64" i="14"/>
  <c r="B57" i="15"/>
  <c r="B64" i="14"/>
  <c r="A57" i="15"/>
  <c r="A64" i="14"/>
  <c r="AM56" i="15"/>
  <c r="D63" i="14"/>
  <c r="D56" i="15"/>
  <c r="E63" i="14"/>
  <c r="C56" i="15"/>
  <c r="H63" i="14"/>
  <c r="B56" i="15"/>
  <c r="B63" i="14"/>
  <c r="A56" i="15"/>
  <c r="A63" i="14"/>
  <c r="AM55" i="15"/>
  <c r="D62" i="14"/>
  <c r="D55" i="15"/>
  <c r="E62" i="14"/>
  <c r="C55" i="15"/>
  <c r="H62" i="14"/>
  <c r="B55" i="15"/>
  <c r="B62" i="14"/>
  <c r="A55" i="15"/>
  <c r="A62" i="14"/>
  <c r="AM54" i="15"/>
  <c r="D61" i="14"/>
  <c r="D54" i="15"/>
  <c r="E61" i="14"/>
  <c r="C54" i="15"/>
  <c r="H61" i="14"/>
  <c r="B54" i="15"/>
  <c r="B61" i="14"/>
  <c r="A54" i="15"/>
  <c r="A61" i="14"/>
  <c r="AM53" i="15"/>
  <c r="D60" i="14"/>
  <c r="D53" i="15"/>
  <c r="E60" i="14"/>
  <c r="C53" i="15"/>
  <c r="H60" i="14"/>
  <c r="B53" i="15"/>
  <c r="B60" i="14"/>
  <c r="A53" i="15"/>
  <c r="A60" i="14"/>
  <c r="AM52" i="15"/>
  <c r="D59" i="14"/>
  <c r="D52" i="15"/>
  <c r="E59" i="14"/>
  <c r="C52" i="15"/>
  <c r="H59" i="14"/>
  <c r="B52" i="15"/>
  <c r="B59" i="14"/>
  <c r="A52" i="15"/>
  <c r="A59" i="14"/>
  <c r="AM51" i="15"/>
  <c r="D58" i="14"/>
  <c r="D51" i="15"/>
  <c r="E58" i="14"/>
  <c r="C51" i="15"/>
  <c r="H58" i="14"/>
  <c r="B51" i="15"/>
  <c r="B58" i="14"/>
  <c r="A51" i="15"/>
  <c r="A58" i="14"/>
  <c r="AM50" i="15"/>
  <c r="D57" i="14"/>
  <c r="D50" i="15"/>
  <c r="E57" i="14"/>
  <c r="C50" i="15"/>
  <c r="H57" i="14"/>
  <c r="B50" i="15"/>
  <c r="B57" i="14"/>
  <c r="A50" i="15"/>
  <c r="A57" i="14"/>
  <c r="AM49" i="15"/>
  <c r="D56" i="14"/>
  <c r="D49" i="15"/>
  <c r="E56" i="14"/>
  <c r="C49" i="15"/>
  <c r="H56" i="14"/>
  <c r="B49" i="15"/>
  <c r="B56" i="14"/>
  <c r="A49" i="15"/>
  <c r="A56" i="14"/>
  <c r="AM48" i="15"/>
  <c r="D55" i="14"/>
  <c r="D48" i="15"/>
  <c r="E55" i="14"/>
  <c r="B48" i="15"/>
  <c r="B55" i="14"/>
  <c r="A48" i="15"/>
  <c r="A55" i="14"/>
  <c r="AM47" i="15"/>
  <c r="D54" i="14"/>
  <c r="D47" i="15"/>
  <c r="E54" i="14"/>
  <c r="C47" i="15"/>
  <c r="H54" i="14"/>
  <c r="B47" i="15"/>
  <c r="B54" i="14"/>
  <c r="A47" i="15"/>
  <c r="A54" i="14"/>
  <c r="AM46" i="15"/>
  <c r="D53" i="14"/>
  <c r="D46" i="15"/>
  <c r="E53" i="14"/>
  <c r="C46" i="15"/>
  <c r="H53" i="14"/>
  <c r="B46" i="15"/>
  <c r="B53" i="14"/>
  <c r="A46" i="15"/>
  <c r="A53" i="14"/>
  <c r="AM45" i="15"/>
  <c r="D52" i="14"/>
  <c r="D45" i="15"/>
  <c r="E52" i="14"/>
  <c r="C45" i="15"/>
  <c r="H52" i="14"/>
  <c r="B45" i="15"/>
  <c r="B52" i="14"/>
  <c r="A45" i="15"/>
  <c r="A52" i="14"/>
  <c r="AM44" i="15"/>
  <c r="D51" i="14"/>
  <c r="D44" i="15"/>
  <c r="E51" i="14"/>
  <c r="C44" i="15"/>
  <c r="H51" i="14"/>
  <c r="B44" i="15"/>
  <c r="B51" i="14"/>
  <c r="A44" i="15"/>
  <c r="A51" i="14"/>
  <c r="AM43" i="15"/>
  <c r="D50" i="14"/>
  <c r="D43" i="15"/>
  <c r="E50" i="14"/>
  <c r="C43" i="15"/>
  <c r="H50" i="14"/>
  <c r="B43" i="15"/>
  <c r="B50" i="14"/>
  <c r="A43" i="15"/>
  <c r="A50" i="14"/>
  <c r="AM42" i="15"/>
  <c r="D49" i="14"/>
  <c r="D42" i="15"/>
  <c r="E49" i="14"/>
  <c r="C42" i="15"/>
  <c r="H49" i="14"/>
  <c r="B42" i="15"/>
  <c r="B49" i="14"/>
  <c r="A42" i="15"/>
  <c r="A49" i="14"/>
  <c r="AM41" i="15"/>
  <c r="D48" i="14"/>
  <c r="D41" i="15"/>
  <c r="E48" i="14"/>
  <c r="C41" i="15"/>
  <c r="H48" i="14"/>
  <c r="B41" i="15"/>
  <c r="B48" i="14"/>
  <c r="A41" i="15"/>
  <c r="A48" i="14"/>
  <c r="AM40" i="15"/>
  <c r="D47" i="14"/>
  <c r="D40" i="15"/>
  <c r="E47" i="14"/>
  <c r="C40" i="15"/>
  <c r="H47" i="14"/>
  <c r="B40" i="15"/>
  <c r="B47" i="14"/>
  <c r="A40" i="15"/>
  <c r="A47" i="14"/>
  <c r="AM39" i="15"/>
  <c r="D46" i="14"/>
  <c r="D39" i="15"/>
  <c r="E46" i="14"/>
  <c r="C39" i="15"/>
  <c r="H46" i="14"/>
  <c r="B39" i="15"/>
  <c r="B46" i="14"/>
  <c r="A39" i="15"/>
  <c r="A46" i="14"/>
  <c r="AM38" i="15"/>
  <c r="D45" i="14"/>
  <c r="D38" i="15"/>
  <c r="E45" i="14"/>
  <c r="C38" i="15"/>
  <c r="H45" i="14"/>
  <c r="B38" i="15"/>
  <c r="B45" i="14"/>
  <c r="A38" i="15"/>
  <c r="A45" i="14"/>
  <c r="AM37" i="15"/>
  <c r="D44" i="14"/>
  <c r="D37" i="15"/>
  <c r="E44" i="14"/>
  <c r="C37" i="15"/>
  <c r="H44" i="14"/>
  <c r="B37" i="15"/>
  <c r="B44" i="14"/>
  <c r="A37" i="15"/>
  <c r="A44" i="14"/>
  <c r="AM36" i="15"/>
  <c r="D43" i="14"/>
  <c r="D36" i="15"/>
  <c r="E43" i="14"/>
  <c r="C36" i="15"/>
  <c r="H43" i="14"/>
  <c r="B36" i="15"/>
  <c r="B43" i="14"/>
  <c r="A36" i="15"/>
  <c r="A43" i="14"/>
  <c r="AM35" i="15"/>
  <c r="D42" i="14"/>
  <c r="D35" i="15"/>
  <c r="E42" i="14"/>
  <c r="C35" i="15"/>
  <c r="H42" i="14"/>
  <c r="B35" i="15"/>
  <c r="B42" i="14"/>
  <c r="A35" i="15"/>
  <c r="A42" i="14"/>
  <c r="AM34" i="15"/>
  <c r="D41" i="14"/>
  <c r="D34" i="15"/>
  <c r="E41" i="14"/>
  <c r="C34" i="15"/>
  <c r="H41" i="14"/>
  <c r="B34" i="15"/>
  <c r="B41" i="14"/>
  <c r="A34" i="15"/>
  <c r="A41" i="14"/>
  <c r="AM33" i="15"/>
  <c r="D40" i="14"/>
  <c r="D33" i="15"/>
  <c r="E40" i="14"/>
  <c r="C33" i="15"/>
  <c r="H40" i="14"/>
  <c r="B33" i="15"/>
  <c r="B40" i="14"/>
  <c r="A33" i="15"/>
  <c r="A40" i="14"/>
  <c r="AM32" i="15"/>
  <c r="D39" i="14"/>
  <c r="D32" i="15"/>
  <c r="E39" i="14"/>
  <c r="C32" i="15"/>
  <c r="H39" i="14"/>
  <c r="B32" i="15"/>
  <c r="B39" i="14"/>
  <c r="A32" i="15"/>
  <c r="A39" i="14"/>
  <c r="AM31" i="15"/>
  <c r="D38" i="14"/>
  <c r="D31" i="15"/>
  <c r="E38" i="14"/>
  <c r="C31" i="15"/>
  <c r="H38" i="14"/>
  <c r="B31" i="15"/>
  <c r="B38" i="14"/>
  <c r="A31" i="15"/>
  <c r="A38" i="14"/>
  <c r="AM30" i="15"/>
  <c r="D37" i="14"/>
  <c r="D30" i="15"/>
  <c r="E37" i="14"/>
  <c r="C30" i="15"/>
  <c r="H37" i="14"/>
  <c r="B30" i="15"/>
  <c r="B37" i="14"/>
  <c r="A30" i="15"/>
  <c r="A37" i="14"/>
  <c r="AM29" i="15"/>
  <c r="D36" i="14"/>
  <c r="D29" i="15"/>
  <c r="E36" i="14"/>
  <c r="C29" i="15"/>
  <c r="H36" i="14"/>
  <c r="B29" i="15"/>
  <c r="B36" i="14"/>
  <c r="A29" i="15"/>
  <c r="A36" i="14"/>
  <c r="AM28" i="15"/>
  <c r="D35" i="14"/>
  <c r="D28" i="15"/>
  <c r="E35" i="14"/>
  <c r="C28" i="15"/>
  <c r="H35" i="14"/>
  <c r="B28" i="15"/>
  <c r="B35" i="14"/>
  <c r="A28" i="15"/>
  <c r="A35" i="14"/>
  <c r="AM27" i="15"/>
  <c r="D34" i="14"/>
  <c r="D27" i="15"/>
  <c r="E34" i="14"/>
  <c r="B27" i="15"/>
  <c r="B34" i="14"/>
  <c r="A27" i="15"/>
  <c r="A34" i="14"/>
  <c r="D33" i="14"/>
  <c r="D26" i="15"/>
  <c r="E33" i="14"/>
  <c r="C26" i="15"/>
  <c r="H33" i="14"/>
  <c r="B26" i="15"/>
  <c r="B33" i="14"/>
  <c r="A26" i="15"/>
  <c r="A33" i="14"/>
  <c r="D32" i="14"/>
  <c r="D25" i="15"/>
  <c r="E32" i="14"/>
  <c r="C25" i="15"/>
  <c r="H32" i="14"/>
  <c r="B25" i="15"/>
  <c r="B32" i="14"/>
  <c r="A25" i="15"/>
  <c r="A32" i="14"/>
  <c r="D31" i="14"/>
  <c r="D24" i="15"/>
  <c r="E31" i="14"/>
  <c r="C24" i="15"/>
  <c r="H31" i="14"/>
  <c r="B24" i="15"/>
  <c r="B31" i="14"/>
  <c r="A24" i="15"/>
  <c r="A31" i="14"/>
  <c r="D30" i="14"/>
  <c r="D23" i="15"/>
  <c r="E30" i="14"/>
  <c r="C23" i="15"/>
  <c r="H30" i="14"/>
  <c r="B23" i="15"/>
  <c r="B30" i="14"/>
  <c r="A23" i="15"/>
  <c r="A30" i="14"/>
  <c r="D29" i="14"/>
  <c r="V22" i="15"/>
  <c r="T22" i="15"/>
  <c r="R22" i="15"/>
  <c r="X29" i="14"/>
  <c r="P22" i="15"/>
  <c r="N22" i="15"/>
  <c r="L22" i="15"/>
  <c r="K22" i="15"/>
  <c r="I22" i="15"/>
  <c r="H22" i="15"/>
  <c r="N29" i="14"/>
  <c r="G22" i="15"/>
  <c r="D22" i="15"/>
  <c r="E29" i="14"/>
  <c r="C22" i="15"/>
  <c r="H29" i="14"/>
  <c r="B22" i="15"/>
  <c r="B29" i="14"/>
  <c r="A22" i="15"/>
  <c r="A29" i="14"/>
  <c r="D28" i="14"/>
  <c r="D21" i="15"/>
  <c r="E28" i="14"/>
  <c r="C21" i="15"/>
  <c r="H28" i="14"/>
  <c r="B21" i="15"/>
  <c r="B28" i="14"/>
  <c r="A21" i="15"/>
  <c r="A28" i="14"/>
  <c r="D27" i="14"/>
  <c r="D20" i="15"/>
  <c r="E27" i="14"/>
  <c r="C20" i="15"/>
  <c r="H27" i="14"/>
  <c r="B20" i="15"/>
  <c r="B27" i="14"/>
  <c r="A20" i="15"/>
  <c r="A27" i="14"/>
  <c r="D26" i="14"/>
  <c r="D19" i="15"/>
  <c r="E26" i="14"/>
  <c r="C19" i="15"/>
  <c r="H26" i="14"/>
  <c r="B19" i="15"/>
  <c r="B26" i="14"/>
  <c r="A19" i="15"/>
  <c r="A26" i="14"/>
  <c r="D25" i="14"/>
  <c r="D18" i="15"/>
  <c r="E25" i="14"/>
  <c r="C18" i="15"/>
  <c r="H25" i="14"/>
  <c r="B18" i="15"/>
  <c r="B25" i="14"/>
  <c r="A18" i="15"/>
  <c r="A25" i="14"/>
  <c r="D24" i="14"/>
  <c r="D17" i="15"/>
  <c r="E24" i="14"/>
  <c r="C17" i="15"/>
  <c r="H24" i="14"/>
  <c r="B17" i="15"/>
  <c r="B24" i="14"/>
  <c r="A17" i="15"/>
  <c r="A24" i="14"/>
  <c r="D23" i="14"/>
  <c r="D16" i="15"/>
  <c r="E23" i="14"/>
  <c r="C16" i="15"/>
  <c r="H23" i="14"/>
  <c r="B16" i="15"/>
  <c r="B23" i="14"/>
  <c r="A16" i="15"/>
  <c r="A23" i="14"/>
  <c r="D22" i="14"/>
  <c r="D15" i="15"/>
  <c r="E22" i="14"/>
  <c r="C15" i="15"/>
  <c r="H22" i="14"/>
  <c r="B15" i="15"/>
  <c r="B22" i="14"/>
  <c r="A15" i="15"/>
  <c r="A22" i="14"/>
  <c r="D21" i="14"/>
  <c r="D14" i="15"/>
  <c r="E21" i="14"/>
  <c r="C14" i="15"/>
  <c r="H21" i="14"/>
  <c r="B14" i="15"/>
  <c r="B21" i="14"/>
  <c r="A14" i="15"/>
  <c r="A21" i="14"/>
  <c r="D20" i="14"/>
  <c r="D13" i="15"/>
  <c r="E20" i="14"/>
  <c r="C13" i="15"/>
  <c r="H20" i="14"/>
  <c r="B13" i="15"/>
  <c r="B20" i="14"/>
  <c r="A13" i="15"/>
  <c r="A20" i="14"/>
  <c r="D19" i="14"/>
  <c r="D12" i="15"/>
  <c r="E19" i="14"/>
  <c r="C12" i="15"/>
  <c r="H19" i="14"/>
  <c r="B12" i="15"/>
  <c r="B19" i="14"/>
  <c r="A12" i="15"/>
  <c r="A19" i="14"/>
  <c r="D18" i="14"/>
  <c r="D11" i="15"/>
  <c r="E18" i="14"/>
  <c r="C11" i="15"/>
  <c r="H18" i="14"/>
  <c r="B11" i="15"/>
  <c r="B18" i="14"/>
  <c r="A11" i="15"/>
  <c r="A18" i="14"/>
  <c r="D17" i="14"/>
  <c r="D10" i="15"/>
  <c r="E17" i="14"/>
  <c r="C10" i="15"/>
  <c r="H17" i="14"/>
  <c r="B10" i="15"/>
  <c r="B17" i="14"/>
  <c r="A10" i="15"/>
  <c r="A17" i="14"/>
  <c r="D16" i="14"/>
  <c r="D9" i="15"/>
  <c r="E16" i="14"/>
  <c r="C9" i="15"/>
  <c r="H16" i="14"/>
  <c r="B9" i="15"/>
  <c r="B16" i="14"/>
  <c r="A9" i="15"/>
  <c r="A16" i="14"/>
  <c r="D15" i="14"/>
  <c r="D8" i="15"/>
  <c r="E15" i="14"/>
  <c r="C8" i="15"/>
  <c r="H15" i="14"/>
  <c r="B8" i="15"/>
  <c r="B15" i="14"/>
  <c r="A8" i="15"/>
  <c r="A15" i="14"/>
  <c r="D14" i="14"/>
  <c r="D7" i="15"/>
  <c r="E14" i="14"/>
  <c r="C7" i="15"/>
  <c r="H14" i="14"/>
  <c r="B7" i="15"/>
  <c r="B14" i="14"/>
  <c r="A7" i="15"/>
  <c r="A14" i="14"/>
  <c r="D13" i="14"/>
  <c r="D6" i="15"/>
  <c r="E13" i="14"/>
  <c r="B6" i="15"/>
  <c r="B13" i="14"/>
  <c r="A6" i="15"/>
  <c r="A13" i="14"/>
  <c r="F86" i="7"/>
  <c r="D86" i="7"/>
  <c r="D84" i="7"/>
  <c r="D83" i="7"/>
  <c r="D82" i="7"/>
  <c r="D81" i="7"/>
  <c r="D80" i="7"/>
  <c r="V75" i="7"/>
  <c r="AE68" i="15"/>
  <c r="L75" i="14"/>
  <c r="U75" i="7"/>
  <c r="AD68" i="15"/>
  <c r="K75" i="14"/>
  <c r="T75" i="7"/>
  <c r="AC68" i="15"/>
  <c r="J75" i="14"/>
  <c r="S75" i="7"/>
  <c r="BC68" i="15"/>
  <c r="T75" i="14"/>
  <c r="U75" i="14"/>
  <c r="R75" i="7"/>
  <c r="BA68" i="15"/>
  <c r="Q75" i="14"/>
  <c r="R75" i="14"/>
  <c r="O75" i="7"/>
  <c r="P68" i="15"/>
  <c r="N75" i="7"/>
  <c r="M75" i="7"/>
  <c r="H75" i="7"/>
  <c r="AF68" i="15"/>
  <c r="M75" i="14"/>
  <c r="G75" i="7"/>
  <c r="D75" i="7"/>
  <c r="U74" i="7"/>
  <c r="AD67" i="15"/>
  <c r="K74" i="14"/>
  <c r="T74" i="7"/>
  <c r="AC67" i="15"/>
  <c r="J74" i="14"/>
  <c r="S74" i="7"/>
  <c r="BC67" i="15"/>
  <c r="T74" i="14"/>
  <c r="U74" i="14"/>
  <c r="R74" i="7"/>
  <c r="BA67" i="15"/>
  <c r="Q74" i="14"/>
  <c r="R74" i="14"/>
  <c r="O74" i="7"/>
  <c r="P67" i="15"/>
  <c r="N74" i="7"/>
  <c r="M74" i="7"/>
  <c r="N67" i="15"/>
  <c r="H74" i="7"/>
  <c r="AF67" i="15"/>
  <c r="M74" i="14"/>
  <c r="G74" i="7"/>
  <c r="D74" i="7"/>
  <c r="U73" i="7"/>
  <c r="AD66" i="15"/>
  <c r="K73" i="14"/>
  <c r="T73" i="7"/>
  <c r="AC66" i="15"/>
  <c r="J73" i="14"/>
  <c r="S73" i="7"/>
  <c r="BC66" i="15"/>
  <c r="T73" i="14"/>
  <c r="U73" i="14"/>
  <c r="R73" i="7"/>
  <c r="BA66" i="15"/>
  <c r="Q73" i="14"/>
  <c r="R73" i="14"/>
  <c r="O73" i="7"/>
  <c r="P66" i="15"/>
  <c r="N73" i="7"/>
  <c r="M73" i="7"/>
  <c r="N66" i="15"/>
  <c r="G73" i="7"/>
  <c r="D73" i="7"/>
  <c r="V72" i="7"/>
  <c r="AE65" i="15"/>
  <c r="L72" i="14"/>
  <c r="U72" i="7"/>
  <c r="AD65" i="15"/>
  <c r="K72" i="14"/>
  <c r="T72" i="7"/>
  <c r="AC65" i="15"/>
  <c r="J72" i="14"/>
  <c r="S72" i="7"/>
  <c r="BC65" i="15"/>
  <c r="T72" i="14"/>
  <c r="U72" i="14"/>
  <c r="R72" i="7"/>
  <c r="BA65" i="15"/>
  <c r="Q72" i="14"/>
  <c r="R72" i="14"/>
  <c r="O72" i="7"/>
  <c r="P65" i="15"/>
  <c r="N72" i="7"/>
  <c r="M72" i="7"/>
  <c r="N65" i="15"/>
  <c r="H72" i="7"/>
  <c r="AF65" i="15"/>
  <c r="M72" i="14"/>
  <c r="G72" i="7"/>
  <c r="D72" i="7"/>
  <c r="U71" i="7"/>
  <c r="AD64" i="15"/>
  <c r="K71" i="14"/>
  <c r="T71" i="7"/>
  <c r="AC64" i="15"/>
  <c r="J71" i="14"/>
  <c r="S71" i="7"/>
  <c r="BC64" i="15"/>
  <c r="T71" i="14"/>
  <c r="U71" i="14"/>
  <c r="R71" i="7"/>
  <c r="BA64" i="15"/>
  <c r="Q71" i="14"/>
  <c r="R71" i="14"/>
  <c r="O71" i="7"/>
  <c r="P64" i="15"/>
  <c r="N71" i="7"/>
  <c r="M71" i="7"/>
  <c r="N64" i="15"/>
  <c r="G71" i="7"/>
  <c r="D71" i="7"/>
  <c r="U70" i="7"/>
  <c r="AD63" i="15"/>
  <c r="K70" i="14"/>
  <c r="T70" i="7"/>
  <c r="AC63" i="15"/>
  <c r="J70" i="14"/>
  <c r="S70" i="7"/>
  <c r="BC63" i="15"/>
  <c r="T70" i="14"/>
  <c r="U70" i="14"/>
  <c r="R70" i="7"/>
  <c r="BA63" i="15"/>
  <c r="Q70" i="14"/>
  <c r="R70" i="14"/>
  <c r="O70" i="7"/>
  <c r="P63" i="15"/>
  <c r="N70" i="7"/>
  <c r="M70" i="7"/>
  <c r="N63" i="15"/>
  <c r="H70" i="7"/>
  <c r="AF63" i="15"/>
  <c r="M70" i="14"/>
  <c r="G70" i="7"/>
  <c r="D70" i="7"/>
  <c r="V69" i="7"/>
  <c r="AE62" i="15"/>
  <c r="L69" i="14"/>
  <c r="U69" i="7"/>
  <c r="AD62" i="15"/>
  <c r="K69" i="14"/>
  <c r="T69" i="7"/>
  <c r="AC62" i="15"/>
  <c r="J69" i="14"/>
  <c r="S69" i="7"/>
  <c r="BC62" i="15"/>
  <c r="T69" i="14"/>
  <c r="U69" i="14"/>
  <c r="R69" i="7"/>
  <c r="BA62" i="15"/>
  <c r="Q69" i="14"/>
  <c r="R69" i="14"/>
  <c r="O69" i="7"/>
  <c r="P62" i="15"/>
  <c r="N69" i="7"/>
  <c r="M69" i="7"/>
  <c r="N62" i="15"/>
  <c r="H69" i="7"/>
  <c r="AF62" i="15"/>
  <c r="M69" i="14"/>
  <c r="G69" i="7"/>
  <c r="D69" i="7"/>
  <c r="V68" i="7"/>
  <c r="AE61" i="15"/>
  <c r="L68" i="14"/>
  <c r="U68" i="7"/>
  <c r="AD61" i="15"/>
  <c r="K68" i="14"/>
  <c r="T68" i="7"/>
  <c r="AC61" i="15"/>
  <c r="J68" i="14"/>
  <c r="S68" i="7"/>
  <c r="BC61" i="15"/>
  <c r="T68" i="14"/>
  <c r="U68" i="14"/>
  <c r="R68" i="7"/>
  <c r="BA61" i="15"/>
  <c r="Q68" i="14"/>
  <c r="R68" i="14"/>
  <c r="O68" i="7"/>
  <c r="P61" i="15"/>
  <c r="N68" i="7"/>
  <c r="M68" i="7"/>
  <c r="N61" i="15"/>
  <c r="G68" i="7"/>
  <c r="D68" i="7"/>
  <c r="U67" i="7"/>
  <c r="AD60" i="15"/>
  <c r="K67" i="14"/>
  <c r="T67" i="7"/>
  <c r="AC60" i="15"/>
  <c r="J67" i="14"/>
  <c r="S67" i="7"/>
  <c r="BC60" i="15"/>
  <c r="T67" i="14"/>
  <c r="U67" i="14"/>
  <c r="R67" i="7"/>
  <c r="BA60" i="15"/>
  <c r="Q67" i="14"/>
  <c r="R67" i="14"/>
  <c r="O67" i="7"/>
  <c r="P60" i="15"/>
  <c r="N67" i="7"/>
  <c r="M67" i="7"/>
  <c r="N60" i="15"/>
  <c r="G67" i="7"/>
  <c r="D67" i="7"/>
  <c r="U66" i="7"/>
  <c r="AD59" i="15"/>
  <c r="K66" i="14"/>
  <c r="T66" i="7"/>
  <c r="AC59" i="15"/>
  <c r="J66" i="14"/>
  <c r="S66" i="7"/>
  <c r="BC59" i="15"/>
  <c r="T66" i="14"/>
  <c r="U66" i="14"/>
  <c r="R66" i="7"/>
  <c r="BA59" i="15"/>
  <c r="Q66" i="14"/>
  <c r="R66" i="14"/>
  <c r="O66" i="7"/>
  <c r="P59" i="15"/>
  <c r="N66" i="7"/>
  <c r="M66" i="7"/>
  <c r="N59" i="15"/>
  <c r="H66" i="7"/>
  <c r="AF59" i="15"/>
  <c r="M66" i="14"/>
  <c r="G66" i="7"/>
  <c r="D66" i="7"/>
  <c r="U65" i="7"/>
  <c r="AD58" i="15"/>
  <c r="K65" i="14"/>
  <c r="T65" i="7"/>
  <c r="AC58" i="15"/>
  <c r="J65" i="14"/>
  <c r="S65" i="7"/>
  <c r="BC58" i="15"/>
  <c r="T65" i="14"/>
  <c r="U65" i="14"/>
  <c r="R65" i="7"/>
  <c r="BA58" i="15"/>
  <c r="Q65" i="14"/>
  <c r="R65" i="14"/>
  <c r="O65" i="7"/>
  <c r="P58" i="15"/>
  <c r="N65" i="7"/>
  <c r="M65" i="7"/>
  <c r="N58" i="15"/>
  <c r="H65" i="7"/>
  <c r="AF58" i="15"/>
  <c r="M65" i="14"/>
  <c r="G65" i="7"/>
  <c r="D65" i="7"/>
  <c r="V64" i="7"/>
  <c r="AE57" i="15"/>
  <c r="L64" i="14"/>
  <c r="U64" i="7"/>
  <c r="AD57" i="15"/>
  <c r="K64" i="14"/>
  <c r="T64" i="7"/>
  <c r="AC57" i="15"/>
  <c r="J64" i="14"/>
  <c r="S64" i="7"/>
  <c r="BC57" i="15"/>
  <c r="T64" i="14"/>
  <c r="U64" i="14"/>
  <c r="R64" i="7"/>
  <c r="BA57" i="15"/>
  <c r="Q64" i="14"/>
  <c r="R64" i="14"/>
  <c r="O64" i="7"/>
  <c r="P57" i="15"/>
  <c r="N64" i="7"/>
  <c r="M64" i="7"/>
  <c r="N57" i="15"/>
  <c r="H64" i="7"/>
  <c r="AF57" i="15"/>
  <c r="M64" i="14"/>
  <c r="G64" i="7"/>
  <c r="D64" i="7"/>
  <c r="U63" i="7"/>
  <c r="AD56" i="15"/>
  <c r="K63" i="14"/>
  <c r="T63" i="7"/>
  <c r="AC56" i="15"/>
  <c r="J63" i="14"/>
  <c r="S63" i="7"/>
  <c r="BC56" i="15"/>
  <c r="T63" i="14"/>
  <c r="U63" i="14"/>
  <c r="R63" i="7"/>
  <c r="BA56" i="15"/>
  <c r="Q63" i="14"/>
  <c r="R63" i="14"/>
  <c r="O63" i="7"/>
  <c r="P56" i="15"/>
  <c r="N63" i="7"/>
  <c r="M63" i="7"/>
  <c r="N56" i="15"/>
  <c r="G63" i="7"/>
  <c r="D63" i="7"/>
  <c r="U62" i="7"/>
  <c r="AD55" i="15"/>
  <c r="K62" i="14"/>
  <c r="T62" i="7"/>
  <c r="AC55" i="15"/>
  <c r="J62" i="14"/>
  <c r="S62" i="7"/>
  <c r="BC55" i="15"/>
  <c r="T62" i="14"/>
  <c r="U62" i="14"/>
  <c r="R62" i="7"/>
  <c r="BA55" i="15"/>
  <c r="Q62" i="14"/>
  <c r="R62" i="14"/>
  <c r="O62" i="7"/>
  <c r="P55" i="15"/>
  <c r="N62" i="7"/>
  <c r="M62" i="7"/>
  <c r="N55" i="15"/>
  <c r="H62" i="7"/>
  <c r="AF55" i="15"/>
  <c r="M62" i="14"/>
  <c r="G62" i="7"/>
  <c r="D62" i="7"/>
  <c r="V61" i="7"/>
  <c r="AE54" i="15"/>
  <c r="L61" i="14"/>
  <c r="U61" i="7"/>
  <c r="AD54" i="15"/>
  <c r="K61" i="14"/>
  <c r="T61" i="7"/>
  <c r="AC54" i="15"/>
  <c r="J61" i="14"/>
  <c r="S61" i="7"/>
  <c r="BC54" i="15"/>
  <c r="T61" i="14"/>
  <c r="U61" i="14"/>
  <c r="R61" i="7"/>
  <c r="BA54" i="15"/>
  <c r="Q61" i="14"/>
  <c r="R61" i="14"/>
  <c r="O61" i="7"/>
  <c r="P54" i="15"/>
  <c r="N61" i="7"/>
  <c r="M61" i="7"/>
  <c r="N54" i="15"/>
  <c r="H61" i="7"/>
  <c r="AF54" i="15"/>
  <c r="M61" i="14"/>
  <c r="G61" i="7"/>
  <c r="D61" i="7"/>
  <c r="V60" i="7"/>
  <c r="AE53" i="15"/>
  <c r="L60" i="14"/>
  <c r="U60" i="7"/>
  <c r="AD53" i="15"/>
  <c r="K60" i="14"/>
  <c r="T60" i="7"/>
  <c r="AC53" i="15"/>
  <c r="J60" i="14"/>
  <c r="S60" i="7"/>
  <c r="BC53" i="15"/>
  <c r="T60" i="14"/>
  <c r="U60" i="14"/>
  <c r="R60" i="7"/>
  <c r="BA53" i="15"/>
  <c r="Q60" i="14"/>
  <c r="R60" i="14"/>
  <c r="O60" i="7"/>
  <c r="P53" i="15"/>
  <c r="N60" i="7"/>
  <c r="M60" i="7"/>
  <c r="N53" i="15"/>
  <c r="H60" i="7"/>
  <c r="AF53" i="15"/>
  <c r="M60" i="14"/>
  <c r="G60" i="7"/>
  <c r="D60" i="7"/>
  <c r="U59" i="7"/>
  <c r="AD52" i="15"/>
  <c r="K59" i="14"/>
  <c r="T59" i="7"/>
  <c r="AC52" i="15"/>
  <c r="J59" i="14"/>
  <c r="S59" i="7"/>
  <c r="BC52" i="15"/>
  <c r="T59" i="14"/>
  <c r="U59" i="14"/>
  <c r="R59" i="7"/>
  <c r="BA52" i="15"/>
  <c r="Q59" i="14"/>
  <c r="R59" i="14"/>
  <c r="O59" i="7"/>
  <c r="P52" i="15"/>
  <c r="N59" i="7"/>
  <c r="M59" i="7"/>
  <c r="N52" i="15"/>
  <c r="H59" i="7"/>
  <c r="AF52" i="15"/>
  <c r="M59" i="14"/>
  <c r="G59" i="7"/>
  <c r="D59" i="7"/>
  <c r="U58" i="7"/>
  <c r="AD51" i="15"/>
  <c r="K58" i="14"/>
  <c r="T58" i="7"/>
  <c r="AC51" i="15"/>
  <c r="J58" i="14"/>
  <c r="S58" i="7"/>
  <c r="BC51" i="15"/>
  <c r="T58" i="14"/>
  <c r="U58" i="14"/>
  <c r="R58" i="7"/>
  <c r="BA51" i="15"/>
  <c r="Q58" i="14"/>
  <c r="R58" i="14"/>
  <c r="O58" i="7"/>
  <c r="P51" i="15"/>
  <c r="N58" i="7"/>
  <c r="M58" i="7"/>
  <c r="N51" i="15"/>
  <c r="H58" i="7"/>
  <c r="AF51" i="15"/>
  <c r="M58" i="14"/>
  <c r="G58" i="7"/>
  <c r="D58" i="7"/>
  <c r="U57" i="7"/>
  <c r="AD50" i="15"/>
  <c r="K57" i="14"/>
  <c r="T57" i="7"/>
  <c r="AC50" i="15"/>
  <c r="J57" i="14"/>
  <c r="S57" i="7"/>
  <c r="BC50" i="15"/>
  <c r="T57" i="14"/>
  <c r="U57" i="14"/>
  <c r="R57" i="7"/>
  <c r="BA50" i="15"/>
  <c r="Q57" i="14"/>
  <c r="R57" i="14"/>
  <c r="O57" i="7"/>
  <c r="P50" i="15"/>
  <c r="N57" i="7"/>
  <c r="M57" i="7"/>
  <c r="N50" i="15"/>
  <c r="H57" i="7"/>
  <c r="AF50" i="15"/>
  <c r="M57" i="14"/>
  <c r="G57" i="7"/>
  <c r="D57" i="7"/>
  <c r="X56" i="7"/>
  <c r="X57" i="7"/>
  <c r="X58" i="7"/>
  <c r="X59" i="7"/>
  <c r="X60" i="7"/>
  <c r="X61" i="7"/>
  <c r="X62" i="7"/>
  <c r="V56" i="7"/>
  <c r="AE49" i="15"/>
  <c r="L56" i="14"/>
  <c r="U56" i="7"/>
  <c r="AD49" i="15"/>
  <c r="K56" i="14"/>
  <c r="T56" i="7"/>
  <c r="AC49" i="15"/>
  <c r="J56" i="14"/>
  <c r="S56" i="7"/>
  <c r="BC49" i="15"/>
  <c r="T56" i="14"/>
  <c r="U56" i="14"/>
  <c r="R56" i="7"/>
  <c r="BA49" i="15"/>
  <c r="Q56" i="14"/>
  <c r="R56" i="14"/>
  <c r="O56" i="7"/>
  <c r="P49" i="15"/>
  <c r="N56" i="7"/>
  <c r="M56" i="7"/>
  <c r="N49" i="15"/>
  <c r="H56" i="7"/>
  <c r="AF49" i="15"/>
  <c r="M56" i="14"/>
  <c r="G56" i="7"/>
  <c r="D56" i="7"/>
  <c r="W55" i="7"/>
  <c r="W56" i="7"/>
  <c r="W57" i="7"/>
  <c r="V55" i="7"/>
  <c r="AE48" i="15"/>
  <c r="L55" i="14"/>
  <c r="U55" i="7"/>
  <c r="AD48" i="15"/>
  <c r="K55" i="14"/>
  <c r="T55" i="7"/>
  <c r="AC48" i="15"/>
  <c r="J55" i="14"/>
  <c r="S55" i="7"/>
  <c r="BC48" i="15"/>
  <c r="T55" i="14"/>
  <c r="U55" i="14"/>
  <c r="R55" i="7"/>
  <c r="BA48" i="15"/>
  <c r="Q55" i="14"/>
  <c r="R55" i="14"/>
  <c r="O55" i="7"/>
  <c r="P48" i="15"/>
  <c r="N55" i="7"/>
  <c r="M55" i="7"/>
  <c r="N48" i="15"/>
  <c r="H55" i="7"/>
  <c r="G55" i="7"/>
  <c r="D55" i="7"/>
  <c r="V51" i="7"/>
  <c r="AE47" i="15"/>
  <c r="L54" i="14"/>
  <c r="U51" i="7"/>
  <c r="AD47" i="15"/>
  <c r="K54" i="14"/>
  <c r="T51" i="7"/>
  <c r="AC47" i="15"/>
  <c r="J54" i="14"/>
  <c r="S51" i="7"/>
  <c r="BC47" i="15"/>
  <c r="T54" i="14"/>
  <c r="U54" i="14"/>
  <c r="R51" i="7"/>
  <c r="BA47" i="15"/>
  <c r="Q54" i="14"/>
  <c r="R54" i="14"/>
  <c r="O51" i="7"/>
  <c r="P47" i="15"/>
  <c r="N51" i="7"/>
  <c r="M51" i="7"/>
  <c r="N47" i="15"/>
  <c r="G51" i="7"/>
  <c r="D51" i="7"/>
  <c r="U50" i="7"/>
  <c r="AD46" i="15"/>
  <c r="K53" i="14"/>
  <c r="T50" i="7"/>
  <c r="AC46" i="15"/>
  <c r="J53" i="14"/>
  <c r="S50" i="7"/>
  <c r="BC46" i="15"/>
  <c r="T53" i="14"/>
  <c r="U53" i="14"/>
  <c r="R50" i="7"/>
  <c r="BA46" i="15"/>
  <c r="Q53" i="14"/>
  <c r="R53" i="14"/>
  <c r="O50" i="7"/>
  <c r="P46" i="15"/>
  <c r="N50" i="7"/>
  <c r="M50" i="7"/>
  <c r="N46" i="15"/>
  <c r="H50" i="7"/>
  <c r="AF46" i="15"/>
  <c r="M53" i="14"/>
  <c r="G50" i="7"/>
  <c r="D50" i="7"/>
  <c r="V49" i="7"/>
  <c r="AE45" i="15"/>
  <c r="L52" i="14"/>
  <c r="U49" i="7"/>
  <c r="AD45" i="15"/>
  <c r="K52" i="14"/>
  <c r="T49" i="7"/>
  <c r="AC45" i="15"/>
  <c r="J52" i="14"/>
  <c r="S49" i="7"/>
  <c r="BC45" i="15"/>
  <c r="T52" i="14"/>
  <c r="U52" i="14"/>
  <c r="R49" i="7"/>
  <c r="BA45" i="15"/>
  <c r="Q52" i="14"/>
  <c r="R52" i="14"/>
  <c r="O49" i="7"/>
  <c r="P45" i="15"/>
  <c r="N49" i="7"/>
  <c r="M49" i="7"/>
  <c r="N45" i="15"/>
  <c r="H49" i="7"/>
  <c r="AF45" i="15"/>
  <c r="M52" i="14"/>
  <c r="G49" i="7"/>
  <c r="D49" i="7"/>
  <c r="U48" i="7"/>
  <c r="T48" i="7"/>
  <c r="AC44" i="15"/>
  <c r="J51" i="14"/>
  <c r="S48" i="7"/>
  <c r="BC44" i="15"/>
  <c r="T51" i="14"/>
  <c r="U51" i="14"/>
  <c r="R48" i="7"/>
  <c r="BA44" i="15"/>
  <c r="Q51" i="14"/>
  <c r="R51" i="14"/>
  <c r="O48" i="7"/>
  <c r="P44" i="15"/>
  <c r="N48" i="7"/>
  <c r="M48" i="7"/>
  <c r="N44" i="15"/>
  <c r="G48" i="7"/>
  <c r="D48" i="7"/>
  <c r="V47" i="7"/>
  <c r="AE43" i="15"/>
  <c r="L50" i="14"/>
  <c r="U47" i="7"/>
  <c r="AD43" i="15"/>
  <c r="K50" i="14"/>
  <c r="T47" i="7"/>
  <c r="AC43" i="15"/>
  <c r="J50" i="14"/>
  <c r="S47" i="7"/>
  <c r="BC43" i="15"/>
  <c r="T50" i="14"/>
  <c r="U50" i="14"/>
  <c r="R47" i="7"/>
  <c r="BA43" i="15"/>
  <c r="Q50" i="14"/>
  <c r="R50" i="14"/>
  <c r="O47" i="7"/>
  <c r="P43" i="15"/>
  <c r="N47" i="7"/>
  <c r="M47" i="7"/>
  <c r="N43" i="15"/>
  <c r="H47" i="7"/>
  <c r="AF43" i="15"/>
  <c r="M50" i="14"/>
  <c r="G47" i="7"/>
  <c r="D47" i="7"/>
  <c r="U46" i="7"/>
  <c r="AD42" i="15"/>
  <c r="K49" i="14"/>
  <c r="T46" i="7"/>
  <c r="AC42" i="15"/>
  <c r="J49" i="14"/>
  <c r="S46" i="7"/>
  <c r="BC42" i="15"/>
  <c r="T49" i="14"/>
  <c r="U49" i="14"/>
  <c r="R46" i="7"/>
  <c r="BA42" i="15"/>
  <c r="Q49" i="14"/>
  <c r="R49" i="14"/>
  <c r="O46" i="7"/>
  <c r="P42" i="15"/>
  <c r="N46" i="7"/>
  <c r="M46" i="7"/>
  <c r="N42" i="15"/>
  <c r="G46" i="7"/>
  <c r="D46" i="7"/>
  <c r="V45" i="7"/>
  <c r="AE41" i="15"/>
  <c r="L48" i="14"/>
  <c r="U45" i="7"/>
  <c r="AD41" i="15"/>
  <c r="K48" i="14"/>
  <c r="T45" i="7"/>
  <c r="AC41" i="15"/>
  <c r="J48" i="14"/>
  <c r="S45" i="7"/>
  <c r="BC41" i="15"/>
  <c r="T48" i="14"/>
  <c r="U48" i="14"/>
  <c r="R45" i="7"/>
  <c r="BA41" i="15"/>
  <c r="Q48" i="14"/>
  <c r="R48" i="14"/>
  <c r="O45" i="7"/>
  <c r="P41" i="15"/>
  <c r="N45" i="7"/>
  <c r="M45" i="7"/>
  <c r="N41" i="15"/>
  <c r="H45" i="7"/>
  <c r="G45" i="7"/>
  <c r="D45" i="7"/>
  <c r="U44" i="7"/>
  <c r="AD40" i="15"/>
  <c r="K47" i="14"/>
  <c r="T44" i="7"/>
  <c r="AC40" i="15"/>
  <c r="J47" i="14"/>
  <c r="S44" i="7"/>
  <c r="BC40" i="15"/>
  <c r="T47" i="14"/>
  <c r="U47" i="14"/>
  <c r="R44" i="7"/>
  <c r="BA40" i="15"/>
  <c r="Q47" i="14"/>
  <c r="R47" i="14"/>
  <c r="O44" i="7"/>
  <c r="P40" i="15"/>
  <c r="N44" i="7"/>
  <c r="M44" i="7"/>
  <c r="N40" i="15"/>
  <c r="G44" i="7"/>
  <c r="D44" i="7"/>
  <c r="U43" i="7"/>
  <c r="AD39" i="15"/>
  <c r="K46" i="14"/>
  <c r="T43" i="7"/>
  <c r="AC39" i="15"/>
  <c r="J46" i="14"/>
  <c r="S43" i="7"/>
  <c r="BC39" i="15"/>
  <c r="T46" i="14"/>
  <c r="U46" i="14"/>
  <c r="R43" i="7"/>
  <c r="BA39" i="15"/>
  <c r="Q46" i="14"/>
  <c r="R46" i="14"/>
  <c r="O43" i="7"/>
  <c r="P39" i="15"/>
  <c r="N43" i="7"/>
  <c r="M43" i="7"/>
  <c r="H43" i="7"/>
  <c r="AF39" i="15"/>
  <c r="M46" i="14"/>
  <c r="G43" i="7"/>
  <c r="D43" i="7"/>
  <c r="V42" i="7"/>
  <c r="AE38" i="15"/>
  <c r="L45" i="14"/>
  <c r="U42" i="7"/>
  <c r="AD38" i="15"/>
  <c r="K45" i="14"/>
  <c r="T42" i="7"/>
  <c r="AC38" i="15"/>
  <c r="J45" i="14"/>
  <c r="S42" i="7"/>
  <c r="BC38" i="15"/>
  <c r="T45" i="14"/>
  <c r="U45" i="14"/>
  <c r="R42" i="7"/>
  <c r="BA38" i="15"/>
  <c r="Q45" i="14"/>
  <c r="R45" i="14"/>
  <c r="O42" i="7"/>
  <c r="P38" i="15"/>
  <c r="N42" i="7"/>
  <c r="M42" i="7"/>
  <c r="N38" i="15"/>
  <c r="H42" i="7"/>
  <c r="AF38" i="15"/>
  <c r="M45" i="14"/>
  <c r="G42" i="7"/>
  <c r="D42" i="7"/>
  <c r="U41" i="7"/>
  <c r="T41" i="7"/>
  <c r="AC37" i="15"/>
  <c r="J44" i="14"/>
  <c r="S41" i="7"/>
  <c r="BC37" i="15"/>
  <c r="T44" i="14"/>
  <c r="U44" i="14"/>
  <c r="R41" i="7"/>
  <c r="BA37" i="15"/>
  <c r="Q44" i="14"/>
  <c r="R44" i="14"/>
  <c r="O41" i="7"/>
  <c r="P37" i="15"/>
  <c r="N41" i="7"/>
  <c r="M41" i="7"/>
  <c r="N37" i="15"/>
  <c r="G41" i="7"/>
  <c r="D41" i="7"/>
  <c r="U40" i="7"/>
  <c r="AD36" i="15"/>
  <c r="K43" i="14"/>
  <c r="T40" i="7"/>
  <c r="S40" i="7"/>
  <c r="BC36" i="15"/>
  <c r="T43" i="14"/>
  <c r="U43" i="14"/>
  <c r="R40" i="7"/>
  <c r="BA36" i="15"/>
  <c r="Q43" i="14"/>
  <c r="R43" i="14"/>
  <c r="O40" i="7"/>
  <c r="P36" i="15"/>
  <c r="N40" i="7"/>
  <c r="M40" i="7"/>
  <c r="N36" i="15"/>
  <c r="H40" i="7"/>
  <c r="G40" i="7"/>
  <c r="D40" i="7"/>
  <c r="V39" i="7"/>
  <c r="AE35" i="15"/>
  <c r="L42" i="14"/>
  <c r="U39" i="7"/>
  <c r="AD35" i="15"/>
  <c r="K42" i="14"/>
  <c r="T39" i="7"/>
  <c r="AC35" i="15"/>
  <c r="J42" i="14"/>
  <c r="S39" i="7"/>
  <c r="BC35" i="15"/>
  <c r="T42" i="14"/>
  <c r="U42" i="14"/>
  <c r="R39" i="7"/>
  <c r="BA35" i="15"/>
  <c r="Q42" i="14"/>
  <c r="R42" i="14"/>
  <c r="O39" i="7"/>
  <c r="P35" i="15"/>
  <c r="N39" i="7"/>
  <c r="M39" i="7"/>
  <c r="N35" i="15"/>
  <c r="H39" i="7"/>
  <c r="AF35" i="15"/>
  <c r="M42" i="14"/>
  <c r="G39" i="7"/>
  <c r="D39" i="7"/>
  <c r="U38" i="7"/>
  <c r="AD34" i="15"/>
  <c r="K41" i="14"/>
  <c r="T38" i="7"/>
  <c r="AC34" i="15"/>
  <c r="J41" i="14"/>
  <c r="S38" i="7"/>
  <c r="BC34" i="15"/>
  <c r="T41" i="14"/>
  <c r="U41" i="14"/>
  <c r="R38" i="7"/>
  <c r="BA34" i="15"/>
  <c r="Q41" i="14"/>
  <c r="R41" i="14"/>
  <c r="O38" i="7"/>
  <c r="P34" i="15"/>
  <c r="N38" i="7"/>
  <c r="M38" i="7"/>
  <c r="N34" i="15"/>
  <c r="G38" i="7"/>
  <c r="D38" i="7"/>
  <c r="V37" i="7"/>
  <c r="AE33" i="15"/>
  <c r="L40" i="14"/>
  <c r="U37" i="7"/>
  <c r="AD33" i="15"/>
  <c r="K40" i="14"/>
  <c r="T37" i="7"/>
  <c r="AC33" i="15"/>
  <c r="J40" i="14"/>
  <c r="S37" i="7"/>
  <c r="BC33" i="15"/>
  <c r="T40" i="14"/>
  <c r="U40" i="14"/>
  <c r="R37" i="7"/>
  <c r="BA33" i="15"/>
  <c r="Q40" i="14"/>
  <c r="R40" i="14"/>
  <c r="O37" i="7"/>
  <c r="P33" i="15"/>
  <c r="N37" i="7"/>
  <c r="M37" i="7"/>
  <c r="N33" i="15"/>
  <c r="H37" i="7"/>
  <c r="AF33" i="15"/>
  <c r="M40" i="14"/>
  <c r="G37" i="7"/>
  <c r="D37" i="7"/>
  <c r="U36" i="7"/>
  <c r="T36" i="7"/>
  <c r="AC32" i="15"/>
  <c r="J39" i="14"/>
  <c r="S36" i="7"/>
  <c r="BC32" i="15"/>
  <c r="T39" i="14"/>
  <c r="U39" i="14"/>
  <c r="R36" i="7"/>
  <c r="BA32" i="15"/>
  <c r="Q39" i="14"/>
  <c r="R39" i="14"/>
  <c r="O36" i="7"/>
  <c r="P32" i="15"/>
  <c r="N36" i="7"/>
  <c r="M36" i="7"/>
  <c r="N32" i="15"/>
  <c r="G36" i="7"/>
  <c r="D36" i="7"/>
  <c r="U35" i="7"/>
  <c r="AD31" i="15"/>
  <c r="K38" i="14"/>
  <c r="T35" i="7"/>
  <c r="S35" i="7"/>
  <c r="BC31" i="15"/>
  <c r="T38" i="14"/>
  <c r="U38" i="14"/>
  <c r="R35" i="7"/>
  <c r="BA31" i="15"/>
  <c r="Q38" i="14"/>
  <c r="R38" i="14"/>
  <c r="O35" i="7"/>
  <c r="P31" i="15"/>
  <c r="N35" i="7"/>
  <c r="M35" i="7"/>
  <c r="N31" i="15"/>
  <c r="G35" i="7"/>
  <c r="D35" i="7"/>
  <c r="V34" i="7"/>
  <c r="AE30" i="15"/>
  <c r="L37" i="14"/>
  <c r="U34" i="7"/>
  <c r="AD30" i="15"/>
  <c r="K37" i="14"/>
  <c r="T34" i="7"/>
  <c r="AC30" i="15"/>
  <c r="J37" i="14"/>
  <c r="S34" i="7"/>
  <c r="BC30" i="15"/>
  <c r="T37" i="14"/>
  <c r="U37" i="14"/>
  <c r="R34" i="7"/>
  <c r="BA30" i="15"/>
  <c r="Q37" i="14"/>
  <c r="R37" i="14"/>
  <c r="O34" i="7"/>
  <c r="P30" i="15"/>
  <c r="N34" i="7"/>
  <c r="M34" i="7"/>
  <c r="H34" i="7"/>
  <c r="G34" i="7"/>
  <c r="D34" i="7"/>
  <c r="U33" i="7"/>
  <c r="AD29" i="15"/>
  <c r="K36" i="14"/>
  <c r="T33" i="7"/>
  <c r="AC29" i="15"/>
  <c r="J36" i="14"/>
  <c r="S33" i="7"/>
  <c r="BC29" i="15"/>
  <c r="T36" i="14"/>
  <c r="U36" i="14"/>
  <c r="R33" i="7"/>
  <c r="BA29" i="15"/>
  <c r="Q36" i="14"/>
  <c r="R36" i="14"/>
  <c r="O33" i="7"/>
  <c r="P29" i="15"/>
  <c r="N33" i="7"/>
  <c r="M33" i="7"/>
  <c r="N29" i="15"/>
  <c r="H33" i="7"/>
  <c r="G33" i="7"/>
  <c r="D33" i="7"/>
  <c r="V32" i="7"/>
  <c r="AE28" i="15"/>
  <c r="L35" i="14"/>
  <c r="U32" i="7"/>
  <c r="AD28" i="15"/>
  <c r="K35" i="14"/>
  <c r="T32" i="7"/>
  <c r="AC28" i="15"/>
  <c r="J35" i="14"/>
  <c r="S32" i="7"/>
  <c r="BC28" i="15"/>
  <c r="T35" i="14"/>
  <c r="U35" i="14"/>
  <c r="R32" i="7"/>
  <c r="BA28" i="15"/>
  <c r="Q35" i="14"/>
  <c r="R35" i="14"/>
  <c r="O32" i="7"/>
  <c r="P28" i="15"/>
  <c r="N32" i="7"/>
  <c r="M32" i="7"/>
  <c r="N28" i="15"/>
  <c r="G32" i="7"/>
  <c r="D32" i="7"/>
  <c r="U31" i="7"/>
  <c r="AD27" i="15"/>
  <c r="K34" i="14"/>
  <c r="T31" i="7"/>
  <c r="AC27" i="15"/>
  <c r="J34" i="14"/>
  <c r="S31" i="7"/>
  <c r="BC27" i="15"/>
  <c r="T34" i="14"/>
  <c r="U34" i="14"/>
  <c r="R31" i="7"/>
  <c r="BA27" i="15"/>
  <c r="Q34" i="14"/>
  <c r="R34" i="14"/>
  <c r="O31" i="7"/>
  <c r="P27" i="15"/>
  <c r="N31" i="7"/>
  <c r="M31" i="7"/>
  <c r="N27" i="15"/>
  <c r="G31" i="7"/>
  <c r="D31" i="7"/>
  <c r="U27" i="7"/>
  <c r="AD26" i="15"/>
  <c r="K33" i="14"/>
  <c r="T27" i="7"/>
  <c r="AC26" i="15"/>
  <c r="J33" i="14"/>
  <c r="S27" i="7"/>
  <c r="BC26" i="15"/>
  <c r="T33" i="14"/>
  <c r="U33" i="14"/>
  <c r="R27" i="7"/>
  <c r="BA26" i="15"/>
  <c r="Q33" i="14"/>
  <c r="R33" i="14"/>
  <c r="O27" i="7"/>
  <c r="P26" i="15"/>
  <c r="N27" i="7"/>
  <c r="M27" i="7"/>
  <c r="N26" i="15"/>
  <c r="H27" i="7"/>
  <c r="AF26" i="15"/>
  <c r="M33" i="14"/>
  <c r="G27" i="7"/>
  <c r="D27" i="7"/>
  <c r="V26" i="7"/>
  <c r="AE25" i="15"/>
  <c r="L32" i="14"/>
  <c r="U26" i="7"/>
  <c r="AD25" i="15"/>
  <c r="K32" i="14"/>
  <c r="T26" i="7"/>
  <c r="AC25" i="15"/>
  <c r="J32" i="14"/>
  <c r="S26" i="7"/>
  <c r="BC25" i="15"/>
  <c r="T32" i="14"/>
  <c r="U32" i="14"/>
  <c r="R26" i="7"/>
  <c r="BA25" i="15"/>
  <c r="Q32" i="14"/>
  <c r="R32" i="14"/>
  <c r="O26" i="7"/>
  <c r="P25" i="15"/>
  <c r="N26" i="7"/>
  <c r="M26" i="7"/>
  <c r="N25" i="15"/>
  <c r="H26" i="7"/>
  <c r="AF25" i="15"/>
  <c r="M32" i="14"/>
  <c r="G26" i="7"/>
  <c r="D26" i="7"/>
  <c r="U25" i="7"/>
  <c r="AD24" i="15"/>
  <c r="K31" i="14"/>
  <c r="T25" i="7"/>
  <c r="AC24" i="15"/>
  <c r="J31" i="14"/>
  <c r="S25" i="7"/>
  <c r="BC24" i="15"/>
  <c r="T31" i="14"/>
  <c r="U31" i="14"/>
  <c r="R25" i="7"/>
  <c r="BA24" i="15"/>
  <c r="Q31" i="14"/>
  <c r="R31" i="14"/>
  <c r="O25" i="7"/>
  <c r="P24" i="15"/>
  <c r="N25" i="7"/>
  <c r="M25" i="7"/>
  <c r="N24" i="15"/>
  <c r="G25" i="7"/>
  <c r="D25" i="7"/>
  <c r="U24" i="7"/>
  <c r="AD23" i="15"/>
  <c r="K30" i="14"/>
  <c r="T24" i="7"/>
  <c r="AC23" i="15"/>
  <c r="J30" i="14"/>
  <c r="S24" i="7"/>
  <c r="BC23" i="15"/>
  <c r="T30" i="14"/>
  <c r="U30" i="14"/>
  <c r="R24" i="7"/>
  <c r="BA23" i="15"/>
  <c r="Q30" i="14"/>
  <c r="R30" i="14"/>
  <c r="O24" i="7"/>
  <c r="P23" i="15"/>
  <c r="N24" i="7"/>
  <c r="M24" i="7"/>
  <c r="N23" i="15"/>
  <c r="H24" i="7"/>
  <c r="AF23" i="15"/>
  <c r="M30" i="14"/>
  <c r="G24" i="7"/>
  <c r="D24" i="7"/>
  <c r="U23" i="7"/>
  <c r="AD22" i="15"/>
  <c r="K29" i="14"/>
  <c r="T23" i="7"/>
  <c r="AC22" i="15"/>
  <c r="J29" i="14"/>
  <c r="S23" i="7"/>
  <c r="BC22" i="15"/>
  <c r="T29" i="14"/>
  <c r="U29" i="14"/>
  <c r="R23" i="7"/>
  <c r="BA22" i="15"/>
  <c r="Q29" i="14"/>
  <c r="R29" i="14"/>
  <c r="G23" i="7"/>
  <c r="D23" i="7"/>
  <c r="U22" i="7"/>
  <c r="AD21" i="15"/>
  <c r="K28" i="14"/>
  <c r="T22" i="7"/>
  <c r="AC21" i="15"/>
  <c r="J28" i="14"/>
  <c r="S22" i="7"/>
  <c r="BC21" i="15"/>
  <c r="T28" i="14"/>
  <c r="U28" i="14"/>
  <c r="R22" i="7"/>
  <c r="BA21" i="15"/>
  <c r="Q28" i="14"/>
  <c r="R28" i="14"/>
  <c r="O22" i="7"/>
  <c r="P21" i="15"/>
  <c r="N22" i="7"/>
  <c r="M22" i="7"/>
  <c r="N21" i="15"/>
  <c r="G22" i="7"/>
  <c r="D22" i="7"/>
  <c r="U21" i="7"/>
  <c r="AD20" i="15"/>
  <c r="K27" i="14"/>
  <c r="T21" i="7"/>
  <c r="AC20" i="15"/>
  <c r="J27" i="14"/>
  <c r="S21" i="7"/>
  <c r="BC20" i="15"/>
  <c r="T27" i="14"/>
  <c r="U27" i="14"/>
  <c r="R21" i="7"/>
  <c r="BA20" i="15"/>
  <c r="Q27" i="14"/>
  <c r="R27" i="14"/>
  <c r="O21" i="7"/>
  <c r="P20" i="15"/>
  <c r="N21" i="7"/>
  <c r="M21" i="7"/>
  <c r="N20" i="15"/>
  <c r="H21" i="7"/>
  <c r="AF20" i="15"/>
  <c r="M27" i="14"/>
  <c r="G21" i="7"/>
  <c r="D21" i="7"/>
  <c r="U20" i="7"/>
  <c r="AD19" i="15"/>
  <c r="K26" i="14"/>
  <c r="T20" i="7"/>
  <c r="AC19" i="15"/>
  <c r="J26" i="14"/>
  <c r="S20" i="7"/>
  <c r="BC19" i="15"/>
  <c r="T26" i="14"/>
  <c r="U26" i="14"/>
  <c r="R20" i="7"/>
  <c r="BA19" i="15"/>
  <c r="Q26" i="14"/>
  <c r="R26" i="14"/>
  <c r="O20" i="7"/>
  <c r="P19" i="15"/>
  <c r="N20" i="7"/>
  <c r="M20" i="7"/>
  <c r="N19" i="15"/>
  <c r="H20" i="7"/>
  <c r="AF19" i="15"/>
  <c r="M26" i="14"/>
  <c r="G20" i="7"/>
  <c r="D20" i="7"/>
  <c r="V19" i="7"/>
  <c r="AE18" i="15"/>
  <c r="L25" i="14"/>
  <c r="U19" i="7"/>
  <c r="AD18" i="15"/>
  <c r="K25" i="14"/>
  <c r="T19" i="7"/>
  <c r="AC18" i="15"/>
  <c r="J25" i="14"/>
  <c r="S19" i="7"/>
  <c r="BC18" i="15"/>
  <c r="T25" i="14"/>
  <c r="U25" i="14"/>
  <c r="R19" i="7"/>
  <c r="BA18" i="15"/>
  <c r="Q25" i="14"/>
  <c r="R25" i="14"/>
  <c r="O19" i="7"/>
  <c r="P18" i="15"/>
  <c r="N19" i="7"/>
  <c r="M19" i="7"/>
  <c r="N18" i="15"/>
  <c r="G19" i="7"/>
  <c r="D19" i="7"/>
  <c r="V18" i="7"/>
  <c r="AE17" i="15"/>
  <c r="L24" i="14"/>
  <c r="U18" i="7"/>
  <c r="AD17" i="15"/>
  <c r="K24" i="14"/>
  <c r="T18" i="7"/>
  <c r="AC17" i="15"/>
  <c r="J24" i="14"/>
  <c r="S18" i="7"/>
  <c r="BC17" i="15"/>
  <c r="T24" i="14"/>
  <c r="U24" i="14"/>
  <c r="R18" i="7"/>
  <c r="BA17" i="15"/>
  <c r="Q24" i="14"/>
  <c r="R24" i="14"/>
  <c r="O18" i="7"/>
  <c r="P17" i="15"/>
  <c r="N18" i="7"/>
  <c r="M18" i="7"/>
  <c r="N17" i="15"/>
  <c r="G18" i="7"/>
  <c r="D18" i="7"/>
  <c r="U17" i="7"/>
  <c r="AD16" i="15"/>
  <c r="K23" i="14"/>
  <c r="T17" i="7"/>
  <c r="AC16" i="15"/>
  <c r="J23" i="14"/>
  <c r="S17" i="7"/>
  <c r="BC16" i="15"/>
  <c r="T23" i="14"/>
  <c r="U23" i="14"/>
  <c r="R17" i="7"/>
  <c r="BA16" i="15"/>
  <c r="Q23" i="14"/>
  <c r="R23" i="14"/>
  <c r="O17" i="7"/>
  <c r="P16" i="15"/>
  <c r="N17" i="7"/>
  <c r="M17" i="7"/>
  <c r="N16" i="15"/>
  <c r="G17" i="7"/>
  <c r="D17" i="7"/>
  <c r="U16" i="7"/>
  <c r="AD15" i="15"/>
  <c r="K22" i="14"/>
  <c r="T16" i="7"/>
  <c r="AC15" i="15"/>
  <c r="J22" i="14"/>
  <c r="S16" i="7"/>
  <c r="BC15" i="15"/>
  <c r="T22" i="14"/>
  <c r="U22" i="14"/>
  <c r="R16" i="7"/>
  <c r="BA15" i="15"/>
  <c r="Q22" i="14"/>
  <c r="R22" i="14"/>
  <c r="O16" i="7"/>
  <c r="P15" i="15"/>
  <c r="N16" i="7"/>
  <c r="M16" i="7"/>
  <c r="N15" i="15"/>
  <c r="H16" i="7"/>
  <c r="AF15" i="15"/>
  <c r="M22" i="14"/>
  <c r="G16" i="7"/>
  <c r="D16" i="7"/>
  <c r="V15" i="7"/>
  <c r="AE14" i="15"/>
  <c r="L21" i="14"/>
  <c r="U15" i="7"/>
  <c r="AD14" i="15"/>
  <c r="K21" i="14"/>
  <c r="T15" i="7"/>
  <c r="AC14" i="15"/>
  <c r="J21" i="14"/>
  <c r="S15" i="7"/>
  <c r="BC14" i="15"/>
  <c r="T21" i="14"/>
  <c r="U21" i="14"/>
  <c r="R15" i="7"/>
  <c r="BA14" i="15"/>
  <c r="Q21" i="14"/>
  <c r="R21" i="14"/>
  <c r="O15" i="7"/>
  <c r="P14" i="15"/>
  <c r="N15" i="7"/>
  <c r="M15" i="7"/>
  <c r="N14" i="15"/>
  <c r="H15" i="7"/>
  <c r="AF14" i="15"/>
  <c r="M21" i="14"/>
  <c r="G15" i="7"/>
  <c r="D15" i="7"/>
  <c r="U14" i="7"/>
  <c r="AD13" i="15"/>
  <c r="K20" i="14"/>
  <c r="T14" i="7"/>
  <c r="AC13" i="15"/>
  <c r="J20" i="14"/>
  <c r="S14" i="7"/>
  <c r="BC13" i="15"/>
  <c r="T20" i="14"/>
  <c r="U20" i="14"/>
  <c r="R14" i="7"/>
  <c r="BA13" i="15"/>
  <c r="Q20" i="14"/>
  <c r="R20" i="14"/>
  <c r="O14" i="7"/>
  <c r="P13" i="15"/>
  <c r="N14" i="7"/>
  <c r="M14" i="7"/>
  <c r="N13" i="15"/>
  <c r="G14" i="7"/>
  <c r="D14" i="7"/>
  <c r="U13" i="7"/>
  <c r="AD12" i="15"/>
  <c r="K19" i="14"/>
  <c r="T13" i="7"/>
  <c r="AC12" i="15"/>
  <c r="J19" i="14"/>
  <c r="S13" i="7"/>
  <c r="BC12" i="15"/>
  <c r="T19" i="14"/>
  <c r="U19" i="14"/>
  <c r="R13" i="7"/>
  <c r="BA12" i="15"/>
  <c r="Q19" i="14"/>
  <c r="R19" i="14"/>
  <c r="O13" i="7"/>
  <c r="P12" i="15"/>
  <c r="N13" i="7"/>
  <c r="M13" i="7"/>
  <c r="N12" i="15"/>
  <c r="H13" i="7"/>
  <c r="AF12" i="15"/>
  <c r="M19" i="14"/>
  <c r="G13" i="7"/>
  <c r="D13" i="7"/>
  <c r="U12" i="7"/>
  <c r="AD11" i="15"/>
  <c r="K18" i="14"/>
  <c r="T12" i="7"/>
  <c r="AC11" i="15"/>
  <c r="J18" i="14"/>
  <c r="S12" i="7"/>
  <c r="BC11" i="15"/>
  <c r="T18" i="14"/>
  <c r="U18" i="14"/>
  <c r="R12" i="7"/>
  <c r="BA11" i="15"/>
  <c r="Q18" i="14"/>
  <c r="R18" i="14"/>
  <c r="O12" i="7"/>
  <c r="P11" i="15"/>
  <c r="N12" i="7"/>
  <c r="M12" i="7"/>
  <c r="N11" i="15"/>
  <c r="H12" i="7"/>
  <c r="AF11" i="15"/>
  <c r="M18" i="14"/>
  <c r="G12" i="7"/>
  <c r="D12" i="7"/>
  <c r="V11" i="7"/>
  <c r="AE10" i="15"/>
  <c r="L17" i="14"/>
  <c r="U11" i="7"/>
  <c r="AD10" i="15"/>
  <c r="K17" i="14"/>
  <c r="T11" i="7"/>
  <c r="AC10" i="15"/>
  <c r="J17" i="14"/>
  <c r="S11" i="7"/>
  <c r="BC10" i="15"/>
  <c r="T17" i="14"/>
  <c r="U17" i="14"/>
  <c r="R11" i="7"/>
  <c r="BA10" i="15"/>
  <c r="Q17" i="14"/>
  <c r="R17" i="14"/>
  <c r="O11" i="7"/>
  <c r="P10" i="15"/>
  <c r="N11" i="7"/>
  <c r="M11" i="7"/>
  <c r="N10" i="15"/>
  <c r="H11" i="7"/>
  <c r="AF10" i="15"/>
  <c r="M17" i="14"/>
  <c r="G11" i="7"/>
  <c r="D11" i="7"/>
  <c r="V10" i="7"/>
  <c r="AE9" i="15"/>
  <c r="L16" i="14"/>
  <c r="U10" i="7"/>
  <c r="AD9" i="15"/>
  <c r="K16" i="14"/>
  <c r="T10" i="7"/>
  <c r="AC9" i="15"/>
  <c r="J16" i="14"/>
  <c r="S10" i="7"/>
  <c r="BC9" i="15"/>
  <c r="T16" i="14"/>
  <c r="U16" i="14"/>
  <c r="R10" i="7"/>
  <c r="BA9" i="15"/>
  <c r="Q16" i="14"/>
  <c r="R16" i="14"/>
  <c r="O10" i="7"/>
  <c r="P9" i="15"/>
  <c r="N10" i="7"/>
  <c r="M10" i="7"/>
  <c r="N9" i="15"/>
  <c r="G10" i="7"/>
  <c r="D10" i="7"/>
  <c r="U9" i="7"/>
  <c r="AD8" i="15"/>
  <c r="K15" i="14"/>
  <c r="T9" i="7"/>
  <c r="AC8" i="15"/>
  <c r="J15" i="14"/>
  <c r="S9" i="7"/>
  <c r="BC8" i="15"/>
  <c r="T15" i="14"/>
  <c r="U15" i="14"/>
  <c r="R9" i="7"/>
  <c r="BA8" i="15"/>
  <c r="Q15" i="14"/>
  <c r="R15" i="14"/>
  <c r="O9" i="7"/>
  <c r="P8" i="15"/>
  <c r="N9" i="7"/>
  <c r="M9" i="7"/>
  <c r="N8" i="15"/>
  <c r="G9" i="7"/>
  <c r="D9" i="7"/>
  <c r="U8" i="7"/>
  <c r="AD7" i="15"/>
  <c r="K14" i="14"/>
  <c r="T8" i="7"/>
  <c r="AC7" i="15"/>
  <c r="J14" i="14"/>
  <c r="S8" i="7"/>
  <c r="BC7" i="15"/>
  <c r="T14" i="14"/>
  <c r="U14" i="14"/>
  <c r="R8" i="7"/>
  <c r="BA7" i="15"/>
  <c r="Q14" i="14"/>
  <c r="R14" i="14"/>
  <c r="O8" i="7"/>
  <c r="P7" i="15"/>
  <c r="N8" i="7"/>
  <c r="M8" i="7"/>
  <c r="N7" i="15"/>
  <c r="H8" i="7"/>
  <c r="AF7" i="15"/>
  <c r="M14" i="14"/>
  <c r="G8" i="7"/>
  <c r="D8" i="7"/>
  <c r="U7" i="7"/>
  <c r="AD6" i="15"/>
  <c r="K13" i="14"/>
  <c r="T7" i="7"/>
  <c r="AC6" i="15"/>
  <c r="J13" i="14"/>
  <c r="S7" i="7"/>
  <c r="BC6" i="15"/>
  <c r="T13" i="14"/>
  <c r="U13" i="14"/>
  <c r="R7" i="7"/>
  <c r="BA6" i="15"/>
  <c r="Q13" i="14"/>
  <c r="R13" i="14"/>
  <c r="O7" i="7"/>
  <c r="P6" i="15"/>
  <c r="N7" i="7"/>
  <c r="M7" i="7"/>
  <c r="N6" i="15"/>
  <c r="G7" i="7"/>
  <c r="D7" i="7"/>
  <c r="T26" i="17"/>
  <c r="N43" i="17"/>
  <c r="O43" i="17"/>
  <c r="P43" i="17"/>
  <c r="N97" i="13"/>
  <c r="O97" i="13"/>
  <c r="P97" i="13"/>
  <c r="N87" i="13"/>
  <c r="O87" i="13"/>
  <c r="P87" i="13"/>
  <c r="N78" i="13"/>
  <c r="O78" i="13"/>
  <c r="P78" i="13"/>
  <c r="N69" i="13"/>
  <c r="O69" i="13"/>
  <c r="P69" i="13"/>
  <c r="N59" i="13"/>
  <c r="O59" i="13"/>
  <c r="P59" i="13"/>
  <c r="N51" i="13"/>
  <c r="O51" i="13"/>
  <c r="P51" i="13"/>
  <c r="N46" i="13"/>
  <c r="O46" i="13"/>
  <c r="P46" i="13"/>
  <c r="N42" i="13"/>
  <c r="O42" i="13"/>
  <c r="P42" i="13"/>
  <c r="N36" i="13"/>
  <c r="O36" i="13"/>
  <c r="P36" i="13"/>
  <c r="N32" i="13"/>
  <c r="O32" i="13"/>
  <c r="P32" i="13"/>
  <c r="T26" i="13"/>
  <c r="N99" i="13"/>
  <c r="O99" i="13"/>
  <c r="P99" i="13"/>
  <c r="I86" i="10"/>
  <c r="I85" i="10"/>
  <c r="I84" i="10"/>
  <c r="I83" i="10"/>
  <c r="I82" i="10"/>
  <c r="I80" i="10"/>
  <c r="I79" i="10"/>
  <c r="I78" i="10"/>
  <c r="I77" i="10"/>
  <c r="I76" i="10"/>
  <c r="I75" i="10"/>
  <c r="M74" i="10"/>
  <c r="L74" i="10"/>
  <c r="I74" i="10"/>
  <c r="I73" i="10"/>
  <c r="J72" i="10"/>
  <c r="I72" i="10"/>
  <c r="I71" i="10"/>
  <c r="I70" i="10"/>
  <c r="I69" i="10"/>
  <c r="I67" i="10"/>
  <c r="I66" i="10"/>
  <c r="I65" i="10"/>
  <c r="I64" i="10"/>
  <c r="I63" i="10"/>
  <c r="I62" i="10"/>
  <c r="I61" i="10"/>
  <c r="M60" i="10"/>
  <c r="L60" i="10"/>
  <c r="I60" i="10"/>
  <c r="V59" i="10"/>
  <c r="I59" i="10"/>
  <c r="W58" i="10"/>
  <c r="J58" i="10"/>
  <c r="I58" i="10"/>
  <c r="U57" i="10"/>
  <c r="T57" i="10"/>
  <c r="W57" i="10"/>
  <c r="S57" i="10"/>
  <c r="R57" i="10"/>
  <c r="V57" i="10"/>
  <c r="I57" i="10"/>
  <c r="W56" i="10"/>
  <c r="V56" i="10"/>
  <c r="I56" i="10"/>
  <c r="I54" i="10"/>
  <c r="I53" i="10"/>
  <c r="W52" i="10"/>
  <c r="I52" i="10"/>
  <c r="W51" i="10"/>
  <c r="I51" i="10"/>
  <c r="W50" i="10"/>
  <c r="I50" i="10"/>
  <c r="U49" i="10"/>
  <c r="T49" i="10"/>
  <c r="W49" i="10"/>
  <c r="S49" i="10"/>
  <c r="R49" i="10"/>
  <c r="V49" i="10"/>
  <c r="M49" i="10"/>
  <c r="L49" i="10"/>
  <c r="I49" i="10"/>
  <c r="I48" i="10"/>
  <c r="J47" i="10"/>
  <c r="I47" i="10"/>
  <c r="I46" i="10"/>
  <c r="M45" i="10"/>
  <c r="L45" i="10"/>
  <c r="I45" i="10"/>
  <c r="I44" i="10"/>
  <c r="J43" i="10"/>
  <c r="I43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8" i="10"/>
  <c r="I27" i="10"/>
  <c r="I26" i="10"/>
  <c r="I25" i="10"/>
  <c r="M24" i="10"/>
  <c r="L24" i="10"/>
  <c r="I24" i="10"/>
  <c r="I23" i="10"/>
  <c r="J22" i="10"/>
  <c r="I22" i="10"/>
  <c r="I21" i="10"/>
  <c r="I20" i="10"/>
  <c r="M19" i="10"/>
  <c r="L19" i="10"/>
  <c r="I19" i="10"/>
  <c r="I18" i="10"/>
  <c r="J17" i="10"/>
  <c r="I17" i="10"/>
  <c r="I15" i="10"/>
  <c r="I14" i="10"/>
  <c r="I13" i="10"/>
  <c r="I12" i="10"/>
  <c r="I11" i="10"/>
  <c r="I10" i="10"/>
  <c r="I9" i="10"/>
  <c r="I8" i="10"/>
  <c r="I7" i="10"/>
  <c r="I6" i="10"/>
  <c r="I5" i="10"/>
  <c r="X189" i="12"/>
  <c r="Y189" i="12"/>
  <c r="X188" i="12"/>
  <c r="Y188" i="12"/>
  <c r="X187" i="12"/>
  <c r="Y187" i="12"/>
  <c r="X186" i="12"/>
  <c r="Y186" i="12"/>
  <c r="X185" i="12"/>
  <c r="Y185" i="12"/>
  <c r="X184" i="12"/>
  <c r="Y184" i="12"/>
  <c r="X183" i="12"/>
  <c r="X149" i="12"/>
  <c r="Y149" i="12"/>
  <c r="X148" i="12"/>
  <c r="Y148" i="12"/>
  <c r="X147" i="12"/>
  <c r="Y147" i="12"/>
  <c r="X146" i="12"/>
  <c r="Y146" i="12"/>
  <c r="X145" i="12"/>
  <c r="Y145" i="12"/>
  <c r="X144" i="12"/>
  <c r="Y144" i="12"/>
  <c r="X143" i="12"/>
  <c r="X112" i="12"/>
  <c r="Y112" i="12"/>
  <c r="X111" i="12"/>
  <c r="Y111" i="12"/>
  <c r="X110" i="12"/>
  <c r="Y110" i="12"/>
  <c r="X109" i="12"/>
  <c r="Y109" i="12"/>
  <c r="X108" i="12"/>
  <c r="Y108" i="12"/>
  <c r="X107" i="12"/>
  <c r="Y107" i="12"/>
  <c r="X106" i="12"/>
  <c r="AF70" i="12"/>
  <c r="AF75" i="7"/>
  <c r="AF69" i="12"/>
  <c r="AF74" i="7"/>
  <c r="X69" i="12"/>
  <c r="Y69" i="12"/>
  <c r="AF68" i="12"/>
  <c r="AF73" i="7"/>
  <c r="Y68" i="12"/>
  <c r="X68" i="12"/>
  <c r="AF67" i="12"/>
  <c r="AF72" i="7"/>
  <c r="X67" i="12"/>
  <c r="Y67" i="12"/>
  <c r="AF66" i="12"/>
  <c r="AF71" i="7"/>
  <c r="Y66" i="12"/>
  <c r="X66" i="12"/>
  <c r="AF65" i="12"/>
  <c r="AF70" i="7"/>
  <c r="X65" i="12"/>
  <c r="Y65" i="12"/>
  <c r="AH64" i="12"/>
  <c r="AF64" i="12"/>
  <c r="AF69" i="7"/>
  <c r="X64" i="12"/>
  <c r="AF63" i="12"/>
  <c r="AF68" i="7"/>
  <c r="AF62" i="12"/>
  <c r="AF67" i="7"/>
  <c r="AH61" i="12"/>
  <c r="AF61" i="12"/>
  <c r="AF66" i="7"/>
  <c r="AF60" i="12"/>
  <c r="AF65" i="7"/>
  <c r="AF59" i="12"/>
  <c r="AF64" i="7"/>
  <c r="AF58" i="12"/>
  <c r="AF63" i="7"/>
  <c r="AF57" i="12"/>
  <c r="AF62" i="7"/>
  <c r="AF56" i="12"/>
  <c r="AF61" i="7"/>
  <c r="AF55" i="12"/>
  <c r="AF60" i="7"/>
  <c r="AF54" i="12"/>
  <c r="AF59" i="7"/>
  <c r="AF53" i="12"/>
  <c r="AF58" i="7"/>
  <c r="AF52" i="12"/>
  <c r="AF57" i="7"/>
  <c r="AF51" i="12"/>
  <c r="AF56" i="7"/>
  <c r="AF50" i="12"/>
  <c r="AF55" i="7"/>
  <c r="AF49" i="12"/>
  <c r="AF51" i="7"/>
  <c r="X49" i="12"/>
  <c r="Y49" i="12"/>
  <c r="AF48" i="12"/>
  <c r="AF50" i="7"/>
  <c r="Y48" i="12"/>
  <c r="X48" i="12"/>
  <c r="AF47" i="12"/>
  <c r="AF49" i="7"/>
  <c r="X47" i="12"/>
  <c r="Y47" i="12"/>
  <c r="AF46" i="12"/>
  <c r="AF48" i="7"/>
  <c r="Y46" i="12"/>
  <c r="X46" i="12"/>
  <c r="AF45" i="12"/>
  <c r="AF47" i="7"/>
  <c r="X45" i="12"/>
  <c r="Y45" i="12"/>
  <c r="AF44" i="12"/>
  <c r="AF46" i="7"/>
  <c r="Y44" i="12"/>
  <c r="X44" i="12"/>
  <c r="AF43" i="12"/>
  <c r="AF45" i="7"/>
  <c r="X43" i="12"/>
  <c r="AH42" i="12"/>
  <c r="AF42" i="12"/>
  <c r="AF44" i="7"/>
  <c r="AF41" i="12"/>
  <c r="AF43" i="7"/>
  <c r="AF40" i="12"/>
  <c r="AF42" i="7"/>
  <c r="AH39" i="12"/>
  <c r="AF39" i="12"/>
  <c r="AF41" i="7"/>
  <c r="AF38" i="12"/>
  <c r="AF40" i="7"/>
  <c r="AF37" i="12"/>
  <c r="AF39" i="7"/>
  <c r="AF36" i="12"/>
  <c r="AF38" i="7"/>
  <c r="AF35" i="12"/>
  <c r="AF37" i="7"/>
  <c r="AF34" i="12"/>
  <c r="AF36" i="7"/>
  <c r="AF33" i="12"/>
  <c r="AF35" i="7"/>
  <c r="AF32" i="12"/>
  <c r="AF34" i="7"/>
  <c r="AF31" i="12"/>
  <c r="AF33" i="7"/>
  <c r="AF30" i="12"/>
  <c r="AF32" i="7"/>
  <c r="AF29" i="12"/>
  <c r="AF31" i="7"/>
  <c r="AF28" i="12"/>
  <c r="AF27" i="7"/>
  <c r="AF27" i="12"/>
  <c r="AF26" i="7"/>
  <c r="AF26" i="12"/>
  <c r="AF25" i="7"/>
  <c r="AF25" i="12"/>
  <c r="AF24" i="7"/>
  <c r="AF23" i="12"/>
  <c r="AF22" i="7"/>
  <c r="AF22" i="12"/>
  <c r="AF21" i="7"/>
  <c r="AF21" i="12"/>
  <c r="AF20" i="7"/>
  <c r="AH20" i="12"/>
  <c r="AF20" i="12"/>
  <c r="AF19" i="7"/>
  <c r="AF19" i="12"/>
  <c r="AF18" i="7"/>
  <c r="AF18" i="12"/>
  <c r="AF17" i="7"/>
  <c r="AK17" i="12"/>
  <c r="AF17" i="12"/>
  <c r="AF16" i="7"/>
  <c r="AK16" i="12"/>
  <c r="AF16" i="12"/>
  <c r="AF15" i="7"/>
  <c r="AK15" i="12"/>
  <c r="AF15" i="12"/>
  <c r="AF14" i="7"/>
  <c r="AF14" i="12"/>
  <c r="AF13" i="7"/>
  <c r="AF13" i="12"/>
  <c r="AF12" i="7"/>
  <c r="Y13" i="12"/>
  <c r="X13" i="12"/>
  <c r="AH12" i="12"/>
  <c r="AF12" i="12"/>
  <c r="AF11" i="7"/>
  <c r="Y12" i="12"/>
  <c r="X12" i="12"/>
  <c r="AF11" i="12"/>
  <c r="AF10" i="7"/>
  <c r="X11" i="12"/>
  <c r="Y11" i="12"/>
  <c r="AF10" i="12"/>
  <c r="AF9" i="7"/>
  <c r="Y10" i="12"/>
  <c r="Y14" i="12"/>
  <c r="X10" i="12"/>
  <c r="AK9" i="12"/>
  <c r="AF9" i="12"/>
  <c r="AF8" i="7"/>
  <c r="Y9" i="12"/>
  <c r="X9" i="12"/>
  <c r="AK8" i="12"/>
  <c r="AF8" i="12"/>
  <c r="AF7" i="7"/>
  <c r="X8" i="12"/>
  <c r="AK7" i="12"/>
  <c r="AM7" i="12"/>
  <c r="V80" i="9"/>
  <c r="E75" i="7"/>
  <c r="U80" i="9"/>
  <c r="W80" i="9"/>
  <c r="U79" i="9"/>
  <c r="V79" i="9"/>
  <c r="E74" i="7"/>
  <c r="W78" i="9"/>
  <c r="V78" i="9"/>
  <c r="E73" i="7"/>
  <c r="U78" i="9"/>
  <c r="U77" i="9"/>
  <c r="V77" i="9"/>
  <c r="E72" i="7"/>
  <c r="W76" i="9"/>
  <c r="V76" i="9"/>
  <c r="E71" i="7"/>
  <c r="U76" i="9"/>
  <c r="U75" i="9"/>
  <c r="V75" i="9"/>
  <c r="E70" i="7"/>
  <c r="V74" i="9"/>
  <c r="E69" i="7"/>
  <c r="U74" i="9"/>
  <c r="W74" i="9"/>
  <c r="W73" i="9"/>
  <c r="U73" i="9"/>
  <c r="V73" i="9"/>
  <c r="E68" i="7"/>
  <c r="V72" i="9"/>
  <c r="E67" i="7"/>
  <c r="U72" i="9"/>
  <c r="W72" i="9"/>
  <c r="U71" i="9"/>
  <c r="W71" i="9"/>
  <c r="W70" i="9"/>
  <c r="X70" i="9"/>
  <c r="X71" i="9"/>
  <c r="U70" i="9"/>
  <c r="W69" i="9"/>
  <c r="X68" i="9"/>
  <c r="X69" i="9"/>
  <c r="U69" i="9"/>
  <c r="W68" i="9"/>
  <c r="V68" i="9"/>
  <c r="E65" i="7"/>
  <c r="U68" i="9"/>
  <c r="W67" i="9"/>
  <c r="U67" i="9"/>
  <c r="V67" i="9"/>
  <c r="E64" i="7"/>
  <c r="W66" i="9"/>
  <c r="V66" i="9"/>
  <c r="E63" i="7"/>
  <c r="U66" i="9"/>
  <c r="W65" i="9"/>
  <c r="U65" i="9"/>
  <c r="V65" i="9"/>
  <c r="E62" i="7"/>
  <c r="V64" i="9"/>
  <c r="E61" i="7"/>
  <c r="U64" i="9"/>
  <c r="W64" i="9"/>
  <c r="U63" i="9"/>
  <c r="V63" i="9"/>
  <c r="E60" i="7"/>
  <c r="V62" i="9"/>
  <c r="E59" i="7"/>
  <c r="U62" i="9"/>
  <c r="W62" i="9"/>
  <c r="W61" i="9"/>
  <c r="U61" i="9"/>
  <c r="V61" i="9"/>
  <c r="E58" i="7"/>
  <c r="W60" i="9"/>
  <c r="V60" i="9"/>
  <c r="E57" i="7"/>
  <c r="U60" i="9"/>
  <c r="U59" i="9"/>
  <c r="V59" i="9"/>
  <c r="E56" i="7"/>
  <c r="W58" i="9"/>
  <c r="V58" i="9"/>
  <c r="E55" i="7"/>
  <c r="U58" i="9"/>
  <c r="B57" i="9"/>
  <c r="A57" i="9"/>
  <c r="U55" i="9"/>
  <c r="V55" i="9"/>
  <c r="E51" i="7"/>
  <c r="W54" i="9"/>
  <c r="V54" i="9"/>
  <c r="E50" i="7"/>
  <c r="U54" i="9"/>
  <c r="U53" i="9"/>
  <c r="V53" i="9"/>
  <c r="E49" i="7"/>
  <c r="V52" i="9"/>
  <c r="E48" i="7"/>
  <c r="U52" i="9"/>
  <c r="W52" i="9"/>
  <c r="U51" i="9"/>
  <c r="V51" i="9"/>
  <c r="E47" i="7"/>
  <c r="V50" i="9"/>
  <c r="E46" i="7"/>
  <c r="U50" i="9"/>
  <c r="W50" i="9"/>
  <c r="U49" i="9"/>
  <c r="V49" i="9"/>
  <c r="E45" i="7"/>
  <c r="W48" i="9"/>
  <c r="X47" i="9"/>
  <c r="X48" i="9"/>
  <c r="U48" i="9"/>
  <c r="V47" i="9"/>
  <c r="E44" i="7"/>
  <c r="U47" i="9"/>
  <c r="W47" i="9"/>
  <c r="U46" i="9"/>
  <c r="W46" i="9"/>
  <c r="U45" i="9"/>
  <c r="V45" i="9"/>
  <c r="E43" i="7"/>
  <c r="W44" i="9"/>
  <c r="U44" i="9"/>
  <c r="V43" i="9"/>
  <c r="E42" i="7"/>
  <c r="U43" i="9"/>
  <c r="W43" i="9"/>
  <c r="X43" i="9"/>
  <c r="X44" i="9"/>
  <c r="U42" i="9"/>
  <c r="W42" i="9"/>
  <c r="W41" i="9"/>
  <c r="X41" i="9"/>
  <c r="X42" i="9"/>
  <c r="U41" i="9"/>
  <c r="V40" i="9"/>
  <c r="E40" i="7"/>
  <c r="U40" i="9"/>
  <c r="W40" i="9"/>
  <c r="U39" i="9"/>
  <c r="V39" i="9"/>
  <c r="E39" i="7"/>
  <c r="V38" i="9"/>
  <c r="E38" i="7"/>
  <c r="U38" i="9"/>
  <c r="W38" i="9"/>
  <c r="W37" i="9"/>
  <c r="U37" i="9"/>
  <c r="V37" i="9"/>
  <c r="E37" i="7"/>
  <c r="W36" i="9"/>
  <c r="V36" i="9"/>
  <c r="E36" i="7"/>
  <c r="U36" i="9"/>
  <c r="W35" i="9"/>
  <c r="U35" i="9"/>
  <c r="V35" i="9"/>
  <c r="E35" i="7"/>
  <c r="W34" i="9"/>
  <c r="V34" i="9"/>
  <c r="E34" i="7"/>
  <c r="U34" i="9"/>
  <c r="U33" i="9"/>
  <c r="V33" i="9"/>
  <c r="E33" i="7"/>
  <c r="V32" i="9"/>
  <c r="E32" i="7"/>
  <c r="U32" i="9"/>
  <c r="W32" i="9"/>
  <c r="U31" i="9"/>
  <c r="V31" i="9"/>
  <c r="E31" i="7"/>
  <c r="B30" i="9"/>
  <c r="A30" i="9"/>
  <c r="V28" i="9"/>
  <c r="E27" i="7"/>
  <c r="U28" i="9"/>
  <c r="W28" i="9"/>
  <c r="U27" i="9"/>
  <c r="V27" i="9"/>
  <c r="E26" i="7"/>
  <c r="W26" i="9"/>
  <c r="V26" i="9"/>
  <c r="E25" i="7"/>
  <c r="U26" i="9"/>
  <c r="U25" i="9"/>
  <c r="V25" i="9"/>
  <c r="E24" i="7"/>
  <c r="V24" i="9"/>
  <c r="E22" i="7"/>
  <c r="U24" i="9"/>
  <c r="W24" i="9"/>
  <c r="W23" i="9"/>
  <c r="U23" i="9"/>
  <c r="V23" i="9"/>
  <c r="E21" i="7"/>
  <c r="W22" i="9"/>
  <c r="V22" i="9"/>
  <c r="E20" i="7"/>
  <c r="U22" i="9"/>
  <c r="U21" i="9"/>
  <c r="W21" i="9"/>
  <c r="U20" i="9"/>
  <c r="V20" i="9"/>
  <c r="E19" i="7"/>
  <c r="W19" i="9"/>
  <c r="U19" i="9"/>
  <c r="X18" i="9"/>
  <c r="X19" i="9"/>
  <c r="V18" i="9"/>
  <c r="E18" i="7"/>
  <c r="U18" i="9"/>
  <c r="W18" i="9"/>
  <c r="U17" i="9"/>
  <c r="W17" i="9"/>
  <c r="W16" i="9"/>
  <c r="X16" i="9"/>
  <c r="X17" i="9"/>
  <c r="U16" i="9"/>
  <c r="V16" i="9"/>
  <c r="E17" i="7"/>
  <c r="W15" i="9"/>
  <c r="V15" i="9"/>
  <c r="E16" i="7"/>
  <c r="U15" i="9"/>
  <c r="U14" i="9"/>
  <c r="V14" i="9"/>
  <c r="E15" i="7"/>
  <c r="V13" i="9"/>
  <c r="E14" i="7"/>
  <c r="U13" i="9"/>
  <c r="W13" i="9"/>
  <c r="U12" i="9"/>
  <c r="V12" i="9"/>
  <c r="E13" i="7"/>
  <c r="W11" i="9"/>
  <c r="V11" i="9"/>
  <c r="E12" i="7"/>
  <c r="U11" i="9"/>
  <c r="W10" i="9"/>
  <c r="U10" i="9"/>
  <c r="V10" i="9"/>
  <c r="E11" i="7"/>
  <c r="V9" i="9"/>
  <c r="E10" i="7"/>
  <c r="U9" i="9"/>
  <c r="W9" i="9"/>
  <c r="U8" i="9"/>
  <c r="V8" i="9"/>
  <c r="E9" i="7"/>
  <c r="W7" i="9"/>
  <c r="V7" i="9"/>
  <c r="E8" i="7"/>
  <c r="U7" i="9"/>
  <c r="U6" i="9"/>
  <c r="V6" i="9"/>
  <c r="E7" i="7"/>
  <c r="B5" i="9"/>
  <c r="A5" i="9"/>
  <c r="Y57" i="6"/>
  <c r="Y56" i="6"/>
  <c r="P56" i="6"/>
  <c r="Q56" i="6"/>
  <c r="I56" i="6"/>
  <c r="J56" i="6"/>
  <c r="Y55" i="6"/>
  <c r="Y54" i="6"/>
  <c r="Z49" i="6"/>
  <c r="AA49" i="6"/>
  <c r="AB49" i="6"/>
  <c r="Y52" i="6"/>
  <c r="Y51" i="6"/>
  <c r="Y50" i="6"/>
  <c r="Y49" i="6"/>
  <c r="P47" i="6"/>
  <c r="Q47" i="6"/>
  <c r="J47" i="6"/>
  <c r="I47" i="6"/>
  <c r="Y42" i="6"/>
  <c r="Y41" i="6"/>
  <c r="Y40" i="6"/>
  <c r="Y37" i="6"/>
  <c r="Y36" i="6"/>
  <c r="Y35" i="6"/>
  <c r="Z34" i="6"/>
  <c r="AA34" i="6"/>
  <c r="AB34" i="6"/>
  <c r="Q35" i="6"/>
  <c r="P35" i="6"/>
  <c r="J35" i="6"/>
  <c r="I35" i="6"/>
  <c r="Y29" i="6"/>
  <c r="Y28" i="6"/>
  <c r="Y27" i="6"/>
  <c r="Y26" i="6"/>
  <c r="P26" i="6"/>
  <c r="Q26" i="6"/>
  <c r="I26" i="6"/>
  <c r="J26" i="6"/>
  <c r="Y24" i="6"/>
  <c r="Y23" i="6"/>
  <c r="Z21" i="6"/>
  <c r="AA21" i="6"/>
  <c r="AB21" i="6"/>
  <c r="Y22" i="6"/>
  <c r="Y21" i="6"/>
  <c r="Y14" i="6"/>
  <c r="P14" i="6"/>
  <c r="Q14" i="6"/>
  <c r="I14" i="6"/>
  <c r="J14" i="6"/>
  <c r="Y13" i="6"/>
  <c r="Y12" i="6"/>
  <c r="Y9" i="6"/>
  <c r="Y8" i="6"/>
  <c r="Y7" i="6"/>
  <c r="Z6" i="6"/>
  <c r="AA6" i="6"/>
  <c r="AB6" i="6"/>
  <c r="P5" i="6"/>
  <c r="Q5" i="6"/>
  <c r="I5" i="6"/>
  <c r="J5" i="6"/>
  <c r="C16" i="3"/>
  <c r="B15" i="3"/>
  <c r="B16" i="3"/>
  <c r="H14" i="3"/>
  <c r="G14" i="3"/>
  <c r="B17" i="1"/>
  <c r="B16" i="1"/>
  <c r="C16" i="1"/>
  <c r="C15" i="1"/>
  <c r="E12" i="1"/>
  <c r="F12" i="1"/>
  <c r="D12" i="1"/>
  <c r="C11" i="1"/>
  <c r="E11" i="1"/>
  <c r="F11" i="1"/>
  <c r="E10" i="1"/>
  <c r="F10" i="1"/>
  <c r="D10" i="1"/>
  <c r="C10" i="1"/>
  <c r="C9" i="1"/>
  <c r="E9" i="1"/>
  <c r="F9" i="1"/>
  <c r="G15" i="3"/>
  <c r="B17" i="3"/>
  <c r="Y15" i="12"/>
  <c r="AA14" i="12"/>
  <c r="G30" i="15"/>
  <c r="J34" i="7"/>
  <c r="I30" i="15"/>
  <c r="Z30" i="15"/>
  <c r="AI30" i="15"/>
  <c r="AQ30" i="15"/>
  <c r="I34" i="7"/>
  <c r="H30" i="15"/>
  <c r="N37" i="14"/>
  <c r="O37" i="14"/>
  <c r="K18" i="15"/>
  <c r="AG19" i="7"/>
  <c r="L18" i="15"/>
  <c r="K34" i="15"/>
  <c r="AG38" i="7"/>
  <c r="L34" i="15"/>
  <c r="D9" i="1"/>
  <c r="D11" i="1"/>
  <c r="W12" i="9"/>
  <c r="G16" i="15"/>
  <c r="G20" i="15"/>
  <c r="J21" i="7"/>
  <c r="I20" i="15"/>
  <c r="I21" i="7"/>
  <c r="H20" i="15"/>
  <c r="N27" i="14"/>
  <c r="O27" i="14"/>
  <c r="W31" i="9"/>
  <c r="G31" i="15"/>
  <c r="G34" i="15"/>
  <c r="W49" i="9"/>
  <c r="W53" i="9"/>
  <c r="G51" i="15"/>
  <c r="I58" i="7"/>
  <c r="H51" i="15"/>
  <c r="N58" i="14"/>
  <c r="O58" i="14"/>
  <c r="J58" i="7"/>
  <c r="I51" i="15"/>
  <c r="G55" i="15"/>
  <c r="J62" i="7"/>
  <c r="I55" i="15"/>
  <c r="I62" i="7"/>
  <c r="H55" i="15"/>
  <c r="N62" i="14"/>
  <c r="O62" i="14"/>
  <c r="G58" i="15"/>
  <c r="J65" i="7"/>
  <c r="I58" i="15"/>
  <c r="I65" i="7"/>
  <c r="H58" i="15"/>
  <c r="N65" i="14"/>
  <c r="O65" i="14"/>
  <c r="W75" i="9"/>
  <c r="K14" i="15"/>
  <c r="AG15" i="7"/>
  <c r="L14" i="15"/>
  <c r="K19" i="15"/>
  <c r="AG20" i="7"/>
  <c r="L19" i="15"/>
  <c r="K28" i="15"/>
  <c r="AG32" i="7"/>
  <c r="L28" i="15"/>
  <c r="K36" i="15"/>
  <c r="AG40" i="7"/>
  <c r="L36" i="15"/>
  <c r="K41" i="15"/>
  <c r="W41" i="15"/>
  <c r="AG45" i="7"/>
  <c r="L41" i="15"/>
  <c r="K54" i="15"/>
  <c r="AG61" i="7"/>
  <c r="L54" i="15"/>
  <c r="K61" i="15"/>
  <c r="AG68" i="7"/>
  <c r="R36" i="13"/>
  <c r="T36" i="13"/>
  <c r="AC13" i="7"/>
  <c r="V12" i="15"/>
  <c r="Q36" i="13"/>
  <c r="S36" i="13"/>
  <c r="AB13" i="7"/>
  <c r="T12" i="15"/>
  <c r="R97" i="13"/>
  <c r="T97" i="13"/>
  <c r="AC70" i="7"/>
  <c r="V63" i="15"/>
  <c r="Q97" i="13"/>
  <c r="S97" i="13"/>
  <c r="AB70" i="7"/>
  <c r="T63" i="15"/>
  <c r="G9" i="15"/>
  <c r="G18" i="15"/>
  <c r="G25" i="15"/>
  <c r="J26" i="7"/>
  <c r="I25" i="15"/>
  <c r="I26" i="7"/>
  <c r="H25" i="15"/>
  <c r="N32" i="14"/>
  <c r="O32" i="14"/>
  <c r="G35" i="15"/>
  <c r="J39" i="7"/>
  <c r="I35" i="15"/>
  <c r="I39" i="7"/>
  <c r="H35" i="15"/>
  <c r="N42" i="14"/>
  <c r="O42" i="14"/>
  <c r="G48" i="15"/>
  <c r="J55" i="7"/>
  <c r="I48" i="15"/>
  <c r="I55" i="7"/>
  <c r="H48" i="15"/>
  <c r="N55" i="14"/>
  <c r="O55" i="14"/>
  <c r="G67" i="15"/>
  <c r="I74" i="7"/>
  <c r="H67" i="15"/>
  <c r="N74" i="14"/>
  <c r="O74" i="14"/>
  <c r="J74" i="7"/>
  <c r="I67" i="15"/>
  <c r="K20" i="15"/>
  <c r="W20" i="15"/>
  <c r="AG21" i="7"/>
  <c r="K29" i="15"/>
  <c r="AG33" i="7"/>
  <c r="R42" i="13"/>
  <c r="T42" i="13"/>
  <c r="Q42" i="13"/>
  <c r="S42" i="13"/>
  <c r="R43" i="17"/>
  <c r="T43" i="17"/>
  <c r="Q43" i="17"/>
  <c r="S43" i="17"/>
  <c r="W6" i="9"/>
  <c r="G10" i="15"/>
  <c r="J11" i="7"/>
  <c r="I10" i="15"/>
  <c r="I11" i="7"/>
  <c r="H10" i="15"/>
  <c r="N17" i="14"/>
  <c r="O17" i="14"/>
  <c r="G13" i="15"/>
  <c r="I14" i="7"/>
  <c r="H13" i="15"/>
  <c r="N20" i="14"/>
  <c r="O20" i="14"/>
  <c r="W20" i="9"/>
  <c r="X20" i="9"/>
  <c r="X21" i="9"/>
  <c r="W27" i="9"/>
  <c r="G28" i="15"/>
  <c r="W39" i="9"/>
  <c r="G38" i="15"/>
  <c r="I42" i="7"/>
  <c r="H38" i="15"/>
  <c r="N45" i="14"/>
  <c r="O45" i="14"/>
  <c r="J42" i="7"/>
  <c r="I38" i="15"/>
  <c r="G42" i="15"/>
  <c r="G46" i="15"/>
  <c r="J50" i="7"/>
  <c r="I46" i="15"/>
  <c r="I50" i="7"/>
  <c r="H46" i="15"/>
  <c r="N53" i="14"/>
  <c r="O53" i="14"/>
  <c r="G60" i="15"/>
  <c r="G64" i="15"/>
  <c r="W79" i="9"/>
  <c r="K6" i="15"/>
  <c r="AG7" i="7"/>
  <c r="K8" i="15"/>
  <c r="AG9" i="7"/>
  <c r="K15" i="15"/>
  <c r="AG16" i="7"/>
  <c r="L15" i="15"/>
  <c r="K21" i="15"/>
  <c r="AG22" i="7"/>
  <c r="K30" i="15"/>
  <c r="AG34" i="7"/>
  <c r="L30" i="15"/>
  <c r="Y50" i="12"/>
  <c r="K45" i="15"/>
  <c r="AG49" i="7"/>
  <c r="K56" i="15"/>
  <c r="AG63" i="7"/>
  <c r="K62" i="15"/>
  <c r="AG69" i="7"/>
  <c r="L62" i="15"/>
  <c r="R46" i="13"/>
  <c r="T46" i="13"/>
  <c r="Q46" i="13"/>
  <c r="S46" i="13"/>
  <c r="G14" i="15"/>
  <c r="J15" i="7"/>
  <c r="I14" i="15"/>
  <c r="I15" i="7"/>
  <c r="H14" i="15"/>
  <c r="N21" i="14"/>
  <c r="O21" i="14"/>
  <c r="G21" i="15"/>
  <c r="G29" i="15"/>
  <c r="J33" i="7"/>
  <c r="I29" i="15"/>
  <c r="I33" i="7"/>
  <c r="H29" i="15"/>
  <c r="N36" i="14"/>
  <c r="O36" i="14"/>
  <c r="G32" i="15"/>
  <c r="G40" i="15"/>
  <c r="G43" i="15"/>
  <c r="J47" i="7"/>
  <c r="I43" i="15"/>
  <c r="I47" i="7"/>
  <c r="H43" i="15"/>
  <c r="N50" i="14"/>
  <c r="O50" i="14"/>
  <c r="G49" i="15"/>
  <c r="J56" i="7"/>
  <c r="I49" i="15"/>
  <c r="I56" i="7"/>
  <c r="H49" i="15"/>
  <c r="N56" i="14"/>
  <c r="O56" i="14"/>
  <c r="G52" i="15"/>
  <c r="J59" i="7"/>
  <c r="I52" i="15"/>
  <c r="Y52" i="15"/>
  <c r="AH52" i="15"/>
  <c r="AO52" i="15"/>
  <c r="I59" i="7"/>
  <c r="H52" i="15"/>
  <c r="N59" i="14"/>
  <c r="O59" i="14"/>
  <c r="G56" i="15"/>
  <c r="G61" i="15"/>
  <c r="K11" i="15"/>
  <c r="W11" i="15"/>
  <c r="AG12" i="7"/>
  <c r="L11" i="15"/>
  <c r="K23" i="15"/>
  <c r="AG24" i="7"/>
  <c r="Y113" i="12"/>
  <c r="Y150" i="12"/>
  <c r="Y190" i="12"/>
  <c r="R51" i="13"/>
  <c r="T51" i="13"/>
  <c r="AC26" i="7"/>
  <c r="V25" i="15"/>
  <c r="AB25" i="15"/>
  <c r="Q51" i="13"/>
  <c r="S51" i="13"/>
  <c r="AB26" i="7"/>
  <c r="T25" i="15"/>
  <c r="C17" i="3"/>
  <c r="H15" i="3"/>
  <c r="G7" i="15"/>
  <c r="I8" i="7"/>
  <c r="H7" i="15"/>
  <c r="N14" i="14"/>
  <c r="O14" i="14"/>
  <c r="J8" i="7"/>
  <c r="I7" i="15"/>
  <c r="Y7" i="15"/>
  <c r="AH7" i="15"/>
  <c r="AO7" i="15"/>
  <c r="W14" i="9"/>
  <c r="G26" i="15"/>
  <c r="I27" i="7"/>
  <c r="H26" i="15"/>
  <c r="N33" i="14"/>
  <c r="O33" i="14"/>
  <c r="J27" i="7"/>
  <c r="I26" i="15"/>
  <c r="W33" i="9"/>
  <c r="G36" i="15"/>
  <c r="J40" i="7"/>
  <c r="I36" i="15"/>
  <c r="I40" i="7"/>
  <c r="H36" i="15"/>
  <c r="N43" i="14"/>
  <c r="O43" i="14"/>
  <c r="W51" i="9"/>
  <c r="G47" i="15"/>
  <c r="W59" i="9"/>
  <c r="G53" i="15"/>
  <c r="J60" i="7"/>
  <c r="I53" i="15"/>
  <c r="I60" i="7"/>
  <c r="H53" i="15"/>
  <c r="N60" i="14"/>
  <c r="O60" i="14"/>
  <c r="G65" i="15"/>
  <c r="J72" i="7"/>
  <c r="I65" i="15"/>
  <c r="I72" i="7"/>
  <c r="H65" i="15"/>
  <c r="N72" i="14"/>
  <c r="O72" i="14"/>
  <c r="G68" i="15"/>
  <c r="I75" i="7"/>
  <c r="H68" i="15"/>
  <c r="N75" i="14"/>
  <c r="O75" i="14"/>
  <c r="J75" i="7"/>
  <c r="I68" i="15"/>
  <c r="K9" i="15"/>
  <c r="AG10" i="7"/>
  <c r="L9" i="15"/>
  <c r="K16" i="15"/>
  <c r="AG17" i="7"/>
  <c r="L16" i="15"/>
  <c r="K24" i="15"/>
  <c r="AG25" i="7"/>
  <c r="K32" i="15"/>
  <c r="AG36" i="7"/>
  <c r="K39" i="15"/>
  <c r="AG43" i="7"/>
  <c r="L39" i="15"/>
  <c r="Y71" i="12"/>
  <c r="R59" i="13"/>
  <c r="T59" i="13"/>
  <c r="AC37" i="7"/>
  <c r="V33" i="15"/>
  <c r="Q59" i="13"/>
  <c r="S59" i="13"/>
  <c r="AB37" i="7"/>
  <c r="T33" i="15"/>
  <c r="G6" i="15"/>
  <c r="E90" i="7"/>
  <c r="G23" i="15"/>
  <c r="J24" i="7"/>
  <c r="I23" i="15"/>
  <c r="I24" i="7"/>
  <c r="H23" i="15"/>
  <c r="N30" i="14"/>
  <c r="O30" i="14"/>
  <c r="G11" i="15"/>
  <c r="J12" i="7"/>
  <c r="I11" i="15"/>
  <c r="I12" i="7"/>
  <c r="H11" i="15"/>
  <c r="N18" i="14"/>
  <c r="O18" i="14"/>
  <c r="G17" i="15"/>
  <c r="W25" i="9"/>
  <c r="J37" i="7"/>
  <c r="I33" i="15"/>
  <c r="Z33" i="15"/>
  <c r="AI33" i="15"/>
  <c r="AQ33" i="15"/>
  <c r="I37" i="7"/>
  <c r="H33" i="15"/>
  <c r="N40" i="14"/>
  <c r="O40" i="14"/>
  <c r="G33" i="15"/>
  <c r="V41" i="9"/>
  <c r="E41" i="7"/>
  <c r="W55" i="9"/>
  <c r="W63" i="9"/>
  <c r="G57" i="15"/>
  <c r="J64" i="7"/>
  <c r="I57" i="15"/>
  <c r="I64" i="7"/>
  <c r="H57" i="15"/>
  <c r="N64" i="14"/>
  <c r="O64" i="14"/>
  <c r="V70" i="9"/>
  <c r="E66" i="7"/>
  <c r="E92" i="7"/>
  <c r="W77" i="9"/>
  <c r="K12" i="15"/>
  <c r="AG13" i="7"/>
  <c r="K17" i="15"/>
  <c r="AG18" i="7"/>
  <c r="L17" i="15"/>
  <c r="K25" i="15"/>
  <c r="W25" i="15"/>
  <c r="AG26" i="7"/>
  <c r="L25" i="15"/>
  <c r="K43" i="15"/>
  <c r="W43" i="15"/>
  <c r="AG47" i="7"/>
  <c r="L43" i="15"/>
  <c r="K63" i="15"/>
  <c r="AI70" i="7"/>
  <c r="AG70" i="7"/>
  <c r="L63" i="15"/>
  <c r="R69" i="13"/>
  <c r="T69" i="13"/>
  <c r="AC45" i="7"/>
  <c r="V41" i="15"/>
  <c r="Q69" i="13"/>
  <c r="S69" i="13"/>
  <c r="AB45" i="7"/>
  <c r="T41" i="15"/>
  <c r="G15" i="15"/>
  <c r="I16" i="7"/>
  <c r="H15" i="15"/>
  <c r="N22" i="14"/>
  <c r="O22" i="14"/>
  <c r="J16" i="7"/>
  <c r="I15" i="15"/>
  <c r="G39" i="15"/>
  <c r="J43" i="7"/>
  <c r="I39" i="15"/>
  <c r="Z39" i="15"/>
  <c r="AI39" i="15"/>
  <c r="AQ39" i="15"/>
  <c r="I43" i="7"/>
  <c r="H39" i="15"/>
  <c r="N46" i="14"/>
  <c r="O46" i="14"/>
  <c r="G50" i="15"/>
  <c r="J57" i="7"/>
  <c r="I50" i="15"/>
  <c r="I57" i="7"/>
  <c r="H50" i="15"/>
  <c r="N57" i="14"/>
  <c r="O57" i="14"/>
  <c r="G62" i="15"/>
  <c r="J69" i="7"/>
  <c r="I62" i="15"/>
  <c r="I69" i="7"/>
  <c r="H62" i="15"/>
  <c r="N69" i="14"/>
  <c r="O69" i="14"/>
  <c r="K7" i="15"/>
  <c r="W7" i="15"/>
  <c r="AG8" i="7"/>
  <c r="L7" i="15"/>
  <c r="K13" i="15"/>
  <c r="AG14" i="7"/>
  <c r="K52" i="15"/>
  <c r="AG59" i="7"/>
  <c r="L52" i="15"/>
  <c r="R99" i="13"/>
  <c r="T99" i="13"/>
  <c r="AC72" i="7"/>
  <c r="V65" i="15"/>
  <c r="AB65" i="15"/>
  <c r="Q99" i="13"/>
  <c r="S99" i="13"/>
  <c r="AB72" i="7"/>
  <c r="T65" i="15"/>
  <c r="R78" i="13"/>
  <c r="T78" i="13"/>
  <c r="AC55" i="7"/>
  <c r="V48" i="15"/>
  <c r="AB48" i="15"/>
  <c r="Q78" i="13"/>
  <c r="S78" i="13"/>
  <c r="AB55" i="7"/>
  <c r="T48" i="15"/>
  <c r="G8" i="15"/>
  <c r="G19" i="15"/>
  <c r="J20" i="7"/>
  <c r="I19" i="15"/>
  <c r="I20" i="7"/>
  <c r="H19" i="15"/>
  <c r="N26" i="14"/>
  <c r="O26" i="14"/>
  <c r="G44" i="15"/>
  <c r="K26" i="15"/>
  <c r="W26" i="15"/>
  <c r="AG27" i="7"/>
  <c r="L26" i="15"/>
  <c r="W8" i="9"/>
  <c r="G12" i="15"/>
  <c r="J13" i="7"/>
  <c r="I12" i="15"/>
  <c r="I13" i="7"/>
  <c r="H12" i="15"/>
  <c r="N19" i="14"/>
  <c r="O19" i="14"/>
  <c r="G24" i="15"/>
  <c r="G27" i="15"/>
  <c r="E91" i="7"/>
  <c r="W45" i="9"/>
  <c r="X45" i="9"/>
  <c r="X46" i="9"/>
  <c r="G41" i="15"/>
  <c r="J45" i="7"/>
  <c r="I41" i="15"/>
  <c r="I45" i="7"/>
  <c r="H41" i="15"/>
  <c r="N48" i="14"/>
  <c r="O48" i="14"/>
  <c r="G45" i="15"/>
  <c r="I49" i="7"/>
  <c r="H45" i="15"/>
  <c r="N52" i="14"/>
  <c r="O52" i="14"/>
  <c r="J49" i="7"/>
  <c r="I45" i="15"/>
  <c r="G54" i="15"/>
  <c r="J61" i="7"/>
  <c r="I54" i="15"/>
  <c r="I61" i="7"/>
  <c r="H54" i="15"/>
  <c r="N61" i="14"/>
  <c r="O61" i="14"/>
  <c r="G63" i="15"/>
  <c r="J70" i="7"/>
  <c r="I63" i="15"/>
  <c r="I70" i="7"/>
  <c r="H63" i="15"/>
  <c r="N70" i="14"/>
  <c r="O70" i="14"/>
  <c r="G66" i="15"/>
  <c r="K10" i="15"/>
  <c r="W10" i="15"/>
  <c r="AG11" i="7"/>
  <c r="L10" i="15"/>
  <c r="K27" i="15"/>
  <c r="AG31" i="7"/>
  <c r="L27" i="15"/>
  <c r="K35" i="15"/>
  <c r="W35" i="15"/>
  <c r="AG39" i="7"/>
  <c r="L35" i="15"/>
  <c r="K47" i="15"/>
  <c r="AG51" i="7"/>
  <c r="K67" i="15"/>
  <c r="W67" i="15"/>
  <c r="AG74" i="7"/>
  <c r="L67" i="15"/>
  <c r="R32" i="13"/>
  <c r="T32" i="13"/>
  <c r="AC10" i="7"/>
  <c r="V9" i="15"/>
  <c r="Q32" i="13"/>
  <c r="S32" i="13"/>
  <c r="AB10" i="7"/>
  <c r="T9" i="15"/>
  <c r="R87" i="13"/>
  <c r="T87" i="13"/>
  <c r="Q87" i="13"/>
  <c r="S87" i="13"/>
  <c r="V52" i="10"/>
  <c r="V58" i="10"/>
  <c r="N33" i="13"/>
  <c r="O33" i="13"/>
  <c r="P33" i="13"/>
  <c r="N34" i="13"/>
  <c r="O34" i="13"/>
  <c r="P34" i="13"/>
  <c r="N43" i="13"/>
  <c r="O43" i="13"/>
  <c r="P43" i="13"/>
  <c r="N52" i="13"/>
  <c r="O52" i="13"/>
  <c r="P52" i="13"/>
  <c r="N60" i="13"/>
  <c r="O60" i="13"/>
  <c r="P60" i="13"/>
  <c r="N70" i="13"/>
  <c r="O70" i="13"/>
  <c r="P70" i="13"/>
  <c r="N79" i="13"/>
  <c r="O79" i="13"/>
  <c r="P79" i="13"/>
  <c r="N88" i="13"/>
  <c r="O88" i="13"/>
  <c r="P88" i="13"/>
  <c r="N98" i="13"/>
  <c r="O98" i="13"/>
  <c r="P98" i="13"/>
  <c r="N42" i="17"/>
  <c r="O42" i="17"/>
  <c r="P42" i="17"/>
  <c r="H7" i="7"/>
  <c r="J7" i="7"/>
  <c r="I6" i="15"/>
  <c r="V8" i="7"/>
  <c r="AE7" i="15"/>
  <c r="L14" i="14"/>
  <c r="Z17" i="14"/>
  <c r="AA17" i="14"/>
  <c r="Z10" i="15"/>
  <c r="AI10" i="15"/>
  <c r="AQ10" i="15"/>
  <c r="H14" i="7"/>
  <c r="J14" i="7"/>
  <c r="I13" i="15"/>
  <c r="AH15" i="7"/>
  <c r="V16" i="7"/>
  <c r="AE15" i="15"/>
  <c r="L22" i="14"/>
  <c r="H22" i="7"/>
  <c r="I22" i="7"/>
  <c r="H21" i="15"/>
  <c r="H25" i="7"/>
  <c r="J25" i="7"/>
  <c r="I24" i="15"/>
  <c r="AH26" i="7"/>
  <c r="AI26" i="7"/>
  <c r="V27" i="7"/>
  <c r="AE26" i="15"/>
  <c r="L33" i="14"/>
  <c r="K46" i="15"/>
  <c r="W46" i="15"/>
  <c r="AG50" i="7"/>
  <c r="K49" i="15"/>
  <c r="W49" i="15"/>
  <c r="AG56" i="7"/>
  <c r="L49" i="15"/>
  <c r="K57" i="15"/>
  <c r="W57" i="15"/>
  <c r="AG64" i="7"/>
  <c r="L57" i="15"/>
  <c r="K68" i="15"/>
  <c r="W68" i="15"/>
  <c r="AG75" i="7"/>
  <c r="L68" i="15"/>
  <c r="N41" i="17"/>
  <c r="O41" i="17"/>
  <c r="P41" i="17"/>
  <c r="W14" i="14"/>
  <c r="X14" i="14"/>
  <c r="W22" i="14"/>
  <c r="X22" i="14"/>
  <c r="Y15" i="15"/>
  <c r="AH15" i="15"/>
  <c r="AO15" i="15"/>
  <c r="W33" i="14"/>
  <c r="X33" i="14"/>
  <c r="Y26" i="15"/>
  <c r="AH26" i="15"/>
  <c r="AO26" i="15"/>
  <c r="AC31" i="15"/>
  <c r="J38" i="14"/>
  <c r="V35" i="7"/>
  <c r="AE31" i="15"/>
  <c r="L38" i="14"/>
  <c r="Z40" i="14"/>
  <c r="AA40" i="14"/>
  <c r="AF36" i="15"/>
  <c r="M43" i="14"/>
  <c r="K50" i="15"/>
  <c r="W50" i="15"/>
  <c r="AG57" i="7"/>
  <c r="L50" i="15"/>
  <c r="K58" i="15"/>
  <c r="W58" i="15"/>
  <c r="AG65" i="7"/>
  <c r="L58" i="15"/>
  <c r="K65" i="15"/>
  <c r="W65" i="15"/>
  <c r="AG72" i="7"/>
  <c r="L65" i="15"/>
  <c r="V50" i="10"/>
  <c r="N31" i="13"/>
  <c r="O31" i="13"/>
  <c r="P31" i="13"/>
  <c r="N41" i="13"/>
  <c r="O41" i="13"/>
  <c r="P41" i="13"/>
  <c r="N50" i="13"/>
  <c r="O50" i="13"/>
  <c r="P50" i="13"/>
  <c r="N58" i="13"/>
  <c r="O58" i="13"/>
  <c r="P58" i="13"/>
  <c r="N68" i="13"/>
  <c r="O68" i="13"/>
  <c r="P68" i="13"/>
  <c r="N77" i="13"/>
  <c r="O77" i="13"/>
  <c r="P77" i="13"/>
  <c r="N85" i="13"/>
  <c r="O85" i="13"/>
  <c r="P85" i="13"/>
  <c r="N96" i="13"/>
  <c r="O96" i="13"/>
  <c r="P96" i="13"/>
  <c r="N105" i="13"/>
  <c r="O105" i="13"/>
  <c r="P105" i="13"/>
  <c r="N29" i="17"/>
  <c r="O29" i="17"/>
  <c r="P29" i="17"/>
  <c r="N31" i="17"/>
  <c r="O31" i="17"/>
  <c r="P31" i="17"/>
  <c r="N32" i="17"/>
  <c r="O32" i="17"/>
  <c r="P32" i="17"/>
  <c r="N33" i="17"/>
  <c r="O33" i="17"/>
  <c r="P33" i="17"/>
  <c r="N35" i="17"/>
  <c r="O35" i="17"/>
  <c r="P35" i="17"/>
  <c r="N36" i="17"/>
  <c r="O36" i="17"/>
  <c r="P36" i="17"/>
  <c r="N37" i="17"/>
  <c r="O37" i="17"/>
  <c r="P37" i="17"/>
  <c r="N38" i="17"/>
  <c r="O38" i="17"/>
  <c r="P38" i="17"/>
  <c r="N40" i="17"/>
  <c r="O40" i="17"/>
  <c r="P40" i="17"/>
  <c r="AE6" i="15"/>
  <c r="L13" i="14"/>
  <c r="V14" i="7"/>
  <c r="AE13" i="15"/>
  <c r="L20" i="14"/>
  <c r="W21" i="14"/>
  <c r="X21" i="14"/>
  <c r="Y14" i="15"/>
  <c r="AH14" i="15"/>
  <c r="AO14" i="15"/>
  <c r="V22" i="7"/>
  <c r="AE21" i="15"/>
  <c r="L28" i="14"/>
  <c r="V25" i="7"/>
  <c r="AE24" i="15"/>
  <c r="L31" i="14"/>
  <c r="W32" i="14"/>
  <c r="X32" i="14"/>
  <c r="Y25" i="15"/>
  <c r="AH25" i="15"/>
  <c r="AO25" i="15"/>
  <c r="AF29" i="15"/>
  <c r="M36" i="14"/>
  <c r="N30" i="15"/>
  <c r="AH34" i="7"/>
  <c r="H35" i="7"/>
  <c r="AD32" i="15"/>
  <c r="K39" i="14"/>
  <c r="V36" i="7"/>
  <c r="AE32" i="15"/>
  <c r="L39" i="14"/>
  <c r="H36" i="7"/>
  <c r="J36" i="7"/>
  <c r="I32" i="15"/>
  <c r="K37" i="15"/>
  <c r="AG41" i="7"/>
  <c r="K44" i="15"/>
  <c r="AG48" i="7"/>
  <c r="K51" i="15"/>
  <c r="W51" i="15"/>
  <c r="AG58" i="7"/>
  <c r="L51" i="15"/>
  <c r="K59" i="15"/>
  <c r="AG66" i="7"/>
  <c r="L59" i="15"/>
  <c r="N30" i="13"/>
  <c r="O30" i="13"/>
  <c r="P30" i="13"/>
  <c r="N40" i="13"/>
  <c r="O40" i="13"/>
  <c r="P40" i="13"/>
  <c r="N49" i="13"/>
  <c r="O49" i="13"/>
  <c r="P49" i="13"/>
  <c r="N57" i="13"/>
  <c r="O57" i="13"/>
  <c r="P57" i="13"/>
  <c r="N67" i="13"/>
  <c r="O67" i="13"/>
  <c r="P67" i="13"/>
  <c r="N76" i="13"/>
  <c r="O76" i="13"/>
  <c r="P76" i="13"/>
  <c r="N84" i="13"/>
  <c r="O84" i="13"/>
  <c r="P84" i="13"/>
  <c r="N94" i="13"/>
  <c r="O94" i="13"/>
  <c r="P94" i="13"/>
  <c r="N95" i="13"/>
  <c r="O95" i="13"/>
  <c r="P95" i="13"/>
  <c r="N104" i="13"/>
  <c r="O104" i="13"/>
  <c r="P104" i="13"/>
  <c r="N30" i="17"/>
  <c r="O30" i="17"/>
  <c r="P30" i="17"/>
  <c r="N34" i="17"/>
  <c r="O34" i="17"/>
  <c r="P34" i="17"/>
  <c r="Z14" i="14"/>
  <c r="AA14" i="14"/>
  <c r="AH12" i="7"/>
  <c r="V13" i="7"/>
  <c r="AE12" i="15"/>
  <c r="L19" i="14"/>
  <c r="Z22" i="14"/>
  <c r="AA22" i="14"/>
  <c r="Z15" i="15"/>
  <c r="AI15" i="15"/>
  <c r="AQ15" i="15"/>
  <c r="H19" i="7"/>
  <c r="AH20" i="7"/>
  <c r="V21" i="7"/>
  <c r="AE20" i="15"/>
  <c r="L27" i="14"/>
  <c r="V23" i="7"/>
  <c r="AE22" i="15"/>
  <c r="L29" i="14"/>
  <c r="V24" i="7"/>
  <c r="AE23" i="15"/>
  <c r="L30" i="14"/>
  <c r="Z33" i="14"/>
  <c r="AA33" i="14"/>
  <c r="Z26" i="15"/>
  <c r="AI26" i="15"/>
  <c r="AQ26" i="15"/>
  <c r="H32" i="7"/>
  <c r="H41" i="7"/>
  <c r="AD37" i="15"/>
  <c r="K44" i="14"/>
  <c r="W59" i="10"/>
  <c r="N29" i="13"/>
  <c r="O29" i="13"/>
  <c r="P29" i="13"/>
  <c r="N38" i="13"/>
  <c r="O38" i="13"/>
  <c r="P38" i="13"/>
  <c r="N48" i="13"/>
  <c r="O48" i="13"/>
  <c r="P48" i="13"/>
  <c r="N56" i="13"/>
  <c r="O56" i="13"/>
  <c r="P56" i="13"/>
  <c r="N65" i="13"/>
  <c r="O65" i="13"/>
  <c r="P65" i="13"/>
  <c r="N66" i="13"/>
  <c r="O66" i="13"/>
  <c r="P66" i="13"/>
  <c r="N75" i="13"/>
  <c r="O75" i="13"/>
  <c r="P75" i="13"/>
  <c r="N83" i="13"/>
  <c r="O83" i="13"/>
  <c r="P83" i="13"/>
  <c r="N93" i="13"/>
  <c r="O93" i="13"/>
  <c r="P93" i="13"/>
  <c r="N102" i="13"/>
  <c r="O102" i="13"/>
  <c r="P102" i="13"/>
  <c r="H10" i="7"/>
  <c r="I10" i="7"/>
  <c r="H9" i="15"/>
  <c r="AH11" i="7"/>
  <c r="V12" i="7"/>
  <c r="AE11" i="15"/>
  <c r="L18" i="14"/>
  <c r="W19" i="14"/>
  <c r="X19" i="14"/>
  <c r="Y12" i="15"/>
  <c r="AH12" i="15"/>
  <c r="AO12" i="15"/>
  <c r="Z21" i="14"/>
  <c r="AA21" i="14"/>
  <c r="Z14" i="15"/>
  <c r="AI14" i="15"/>
  <c r="AQ14" i="15"/>
  <c r="H18" i="7"/>
  <c r="AH19" i="7"/>
  <c r="V20" i="7"/>
  <c r="AE19" i="15"/>
  <c r="L26" i="14"/>
  <c r="Y20" i="15"/>
  <c r="AH20" i="15"/>
  <c r="AO20" i="15"/>
  <c r="Y23" i="15"/>
  <c r="AH23" i="15"/>
  <c r="AO23" i="15"/>
  <c r="Z32" i="14"/>
  <c r="AA32" i="14"/>
  <c r="Z25" i="15"/>
  <c r="AI25" i="15"/>
  <c r="AQ25" i="15"/>
  <c r="AH32" i="7"/>
  <c r="V33" i="7"/>
  <c r="AE29" i="15"/>
  <c r="L36" i="14"/>
  <c r="Z37" i="14"/>
  <c r="AA37" i="14"/>
  <c r="AD44" i="15"/>
  <c r="K51" i="14"/>
  <c r="H48" i="7"/>
  <c r="K31" i="15"/>
  <c r="K38" i="15"/>
  <c r="W38" i="15"/>
  <c r="AG42" i="7"/>
  <c r="L38" i="15"/>
  <c r="K42" i="15"/>
  <c r="AG46" i="7"/>
  <c r="L42" i="15"/>
  <c r="K53" i="15"/>
  <c r="W53" i="15"/>
  <c r="AG60" i="7"/>
  <c r="L53" i="15"/>
  <c r="K60" i="15"/>
  <c r="AG67" i="7"/>
  <c r="K66" i="15"/>
  <c r="AG73" i="7"/>
  <c r="L66" i="15"/>
  <c r="V51" i="10"/>
  <c r="N37" i="13"/>
  <c r="O37" i="13"/>
  <c r="P37" i="13"/>
  <c r="N47" i="13"/>
  <c r="O47" i="13"/>
  <c r="P47" i="13"/>
  <c r="N55" i="13"/>
  <c r="O55" i="13"/>
  <c r="P55" i="13"/>
  <c r="N63" i="13"/>
  <c r="O63" i="13"/>
  <c r="P63" i="13"/>
  <c r="N64" i="13"/>
  <c r="O64" i="13"/>
  <c r="P64" i="13"/>
  <c r="N73" i="13"/>
  <c r="O73" i="13"/>
  <c r="P73" i="13"/>
  <c r="N82" i="13"/>
  <c r="O82" i="13"/>
  <c r="P82" i="13"/>
  <c r="N91" i="13"/>
  <c r="O91" i="13"/>
  <c r="P91" i="13"/>
  <c r="N92" i="13"/>
  <c r="O92" i="13"/>
  <c r="P92" i="13"/>
  <c r="N101" i="13"/>
  <c r="O101" i="13"/>
  <c r="P101" i="13"/>
  <c r="N45" i="17"/>
  <c r="O45" i="17"/>
  <c r="P45" i="17"/>
  <c r="H9" i="7"/>
  <c r="AH10" i="7"/>
  <c r="W18" i="14"/>
  <c r="X18" i="14"/>
  <c r="Y11" i="15"/>
  <c r="AH11" i="15"/>
  <c r="AO11" i="15"/>
  <c r="H17" i="7"/>
  <c r="W26" i="14"/>
  <c r="X26" i="14"/>
  <c r="Y19" i="15"/>
  <c r="AH19" i="15"/>
  <c r="AO19" i="15"/>
  <c r="H31" i="7"/>
  <c r="AH31" i="7"/>
  <c r="AG35" i="7"/>
  <c r="N39" i="15"/>
  <c r="AH43" i="7"/>
  <c r="Z48" i="14"/>
  <c r="AA48" i="14"/>
  <c r="Z41" i="15"/>
  <c r="AI41" i="15"/>
  <c r="AQ41" i="15"/>
  <c r="N54" i="13"/>
  <c r="O54" i="13"/>
  <c r="P54" i="13"/>
  <c r="N62" i="13"/>
  <c r="O62" i="13"/>
  <c r="P62" i="13"/>
  <c r="N72" i="13"/>
  <c r="O72" i="13"/>
  <c r="P72" i="13"/>
  <c r="N81" i="13"/>
  <c r="O81" i="13"/>
  <c r="P81" i="13"/>
  <c r="N90" i="13"/>
  <c r="O90" i="13"/>
  <c r="P90" i="13"/>
  <c r="N100" i="13"/>
  <c r="O100" i="13"/>
  <c r="P100" i="13"/>
  <c r="N44" i="17"/>
  <c r="O44" i="17"/>
  <c r="P44" i="17"/>
  <c r="N46" i="17"/>
  <c r="O46" i="17"/>
  <c r="P46" i="17"/>
  <c r="W17" i="14"/>
  <c r="X17" i="14"/>
  <c r="Y10" i="15"/>
  <c r="AH10" i="15"/>
  <c r="AO10" i="15"/>
  <c r="Z19" i="14"/>
  <c r="AA19" i="14"/>
  <c r="Z12" i="15"/>
  <c r="AI12" i="15"/>
  <c r="AQ12" i="15"/>
  <c r="AH17" i="7"/>
  <c r="Z20" i="15"/>
  <c r="AI20" i="15"/>
  <c r="AQ20" i="15"/>
  <c r="H23" i="7"/>
  <c r="Z23" i="15"/>
  <c r="AI23" i="15"/>
  <c r="AQ23" i="15"/>
  <c r="K33" i="15"/>
  <c r="AG37" i="7"/>
  <c r="L33" i="15"/>
  <c r="K40" i="15"/>
  <c r="AG44" i="7"/>
  <c r="K48" i="15"/>
  <c r="W48" i="15"/>
  <c r="AG55" i="7"/>
  <c r="L48" i="15"/>
  <c r="K55" i="15"/>
  <c r="W55" i="15"/>
  <c r="AG62" i="7"/>
  <c r="L55" i="15"/>
  <c r="K64" i="15"/>
  <c r="AG71" i="7"/>
  <c r="N35" i="13"/>
  <c r="O35" i="13"/>
  <c r="P35" i="13"/>
  <c r="N44" i="13"/>
  <c r="O44" i="13"/>
  <c r="P44" i="13"/>
  <c r="N45" i="13"/>
  <c r="O45" i="13"/>
  <c r="P45" i="13"/>
  <c r="N53" i="13"/>
  <c r="O53" i="13"/>
  <c r="P53" i="13"/>
  <c r="N61" i="13"/>
  <c r="O61" i="13"/>
  <c r="P61" i="13"/>
  <c r="N71" i="13"/>
  <c r="O71" i="13"/>
  <c r="P71" i="13"/>
  <c r="N80" i="13"/>
  <c r="O80" i="13"/>
  <c r="P80" i="13"/>
  <c r="N89" i="13"/>
  <c r="O89" i="13"/>
  <c r="P89" i="13"/>
  <c r="AH8" i="7"/>
  <c r="V9" i="7"/>
  <c r="AE8" i="15"/>
  <c r="L15" i="14"/>
  <c r="Z18" i="14"/>
  <c r="AA18" i="14"/>
  <c r="Z11" i="15"/>
  <c r="AI11" i="15"/>
  <c r="AQ11" i="15"/>
  <c r="AH16" i="7"/>
  <c r="V17" i="7"/>
  <c r="AE16" i="15"/>
  <c r="L23" i="14"/>
  <c r="Z26" i="14"/>
  <c r="AA26" i="14"/>
  <c r="Z19" i="15"/>
  <c r="AI19" i="15"/>
  <c r="AQ19" i="15"/>
  <c r="AH27" i="7"/>
  <c r="V31" i="7"/>
  <c r="AE27" i="15"/>
  <c r="L34" i="14"/>
  <c r="Z36" i="14"/>
  <c r="AA36" i="14"/>
  <c r="Z29" i="15"/>
  <c r="AI29" i="15"/>
  <c r="AQ29" i="15"/>
  <c r="AF30" i="15"/>
  <c r="M37" i="14"/>
  <c r="AC36" i="15"/>
  <c r="J43" i="14"/>
  <c r="V40" i="7"/>
  <c r="AE36" i="15"/>
  <c r="L43" i="14"/>
  <c r="AH40" i="7"/>
  <c r="V41" i="7"/>
  <c r="AE37" i="15"/>
  <c r="L44" i="14"/>
  <c r="Y38" i="15"/>
  <c r="AH38" i="15"/>
  <c r="AO38" i="15"/>
  <c r="V48" i="7"/>
  <c r="AE44" i="15"/>
  <c r="L51" i="14"/>
  <c r="W52" i="14"/>
  <c r="X52" i="14"/>
  <c r="Y45" i="15"/>
  <c r="AH45" i="15"/>
  <c r="AO45" i="15"/>
  <c r="AH57" i="7"/>
  <c r="V58" i="7"/>
  <c r="AE51" i="15"/>
  <c r="L58" i="14"/>
  <c r="W59" i="14"/>
  <c r="X59" i="14"/>
  <c r="W59" i="7"/>
  <c r="Z61" i="14"/>
  <c r="AA61" i="14"/>
  <c r="Z54" i="15"/>
  <c r="AI54" i="15"/>
  <c r="AQ54" i="15"/>
  <c r="AH65" i="7"/>
  <c r="V66" i="7"/>
  <c r="AE59" i="15"/>
  <c r="L66" i="14"/>
  <c r="Z69" i="14"/>
  <c r="AA69" i="14"/>
  <c r="Z62" i="15"/>
  <c r="AI62" i="15"/>
  <c r="AQ62" i="15"/>
  <c r="AH73" i="7"/>
  <c r="V74" i="7"/>
  <c r="AE67" i="15"/>
  <c r="L74" i="14"/>
  <c r="W36" i="14"/>
  <c r="X36" i="14"/>
  <c r="Y29" i="15"/>
  <c r="AH29" i="15"/>
  <c r="AO29" i="15"/>
  <c r="H38" i="7"/>
  <c r="J38" i="7"/>
  <c r="I34" i="15"/>
  <c r="AH39" i="7"/>
  <c r="Z46" i="14"/>
  <c r="AA46" i="14"/>
  <c r="H46" i="7"/>
  <c r="AH47" i="7"/>
  <c r="R43" i="15"/>
  <c r="Z53" i="14"/>
  <c r="AA53" i="14"/>
  <c r="Z46" i="15"/>
  <c r="AI46" i="15"/>
  <c r="AQ46" i="15"/>
  <c r="AH56" i="7"/>
  <c r="V57" i="7"/>
  <c r="AE50" i="15"/>
  <c r="L57" i="14"/>
  <c r="W58" i="14"/>
  <c r="X58" i="14"/>
  <c r="Y51" i="15"/>
  <c r="AH51" i="15"/>
  <c r="AO51" i="15"/>
  <c r="W58" i="7"/>
  <c r="Z53" i="15"/>
  <c r="AI53" i="15"/>
  <c r="AQ53" i="15"/>
  <c r="H63" i="7"/>
  <c r="X63" i="7"/>
  <c r="X64" i="7"/>
  <c r="X65" i="7"/>
  <c r="X66" i="7"/>
  <c r="X67" i="7"/>
  <c r="X68" i="7"/>
  <c r="X69" i="7"/>
  <c r="X70" i="7"/>
  <c r="X71" i="7"/>
  <c r="X72" i="7"/>
  <c r="X73" i="7"/>
  <c r="X74" i="7"/>
  <c r="X75" i="7"/>
  <c r="V65" i="7"/>
  <c r="AE58" i="15"/>
  <c r="L65" i="14"/>
  <c r="H71" i="7"/>
  <c r="AH72" i="7"/>
  <c r="V73" i="7"/>
  <c r="AE66" i="15"/>
  <c r="L73" i="14"/>
  <c r="W74" i="14"/>
  <c r="X74" i="14"/>
  <c r="Y67" i="15"/>
  <c r="AH67" i="15"/>
  <c r="AO67" i="15"/>
  <c r="Z75" i="14"/>
  <c r="AA75" i="14"/>
  <c r="Z68" i="15"/>
  <c r="AI68" i="15"/>
  <c r="AQ68" i="15"/>
  <c r="AH38" i="7"/>
  <c r="Y36" i="15"/>
  <c r="AH36" i="15"/>
  <c r="AO36" i="15"/>
  <c r="Z45" i="14"/>
  <c r="AA45" i="14"/>
  <c r="Z38" i="15"/>
  <c r="AI38" i="15"/>
  <c r="AQ38" i="15"/>
  <c r="AH46" i="7"/>
  <c r="Z52" i="14"/>
  <c r="AA52" i="14"/>
  <c r="Z45" i="15"/>
  <c r="AI45" i="15"/>
  <c r="AQ45" i="15"/>
  <c r="AF48" i="15"/>
  <c r="M55" i="14"/>
  <c r="AH55" i="7"/>
  <c r="W57" i="14"/>
  <c r="X57" i="14"/>
  <c r="Y50" i="15"/>
  <c r="AH50" i="15"/>
  <c r="AO50" i="15"/>
  <c r="Z59" i="14"/>
  <c r="AA59" i="14"/>
  <c r="W65" i="14"/>
  <c r="X65" i="14"/>
  <c r="Y58" i="15"/>
  <c r="AH58" i="15"/>
  <c r="AO58" i="15"/>
  <c r="AH37" i="7"/>
  <c r="AI37" i="7"/>
  <c r="V38" i="7"/>
  <c r="AE34" i="15"/>
  <c r="L41" i="14"/>
  <c r="Y35" i="15"/>
  <c r="AH35" i="15"/>
  <c r="AO35" i="15"/>
  <c r="H44" i="7"/>
  <c r="AH45" i="7"/>
  <c r="V46" i="7"/>
  <c r="AE42" i="15"/>
  <c r="L49" i="14"/>
  <c r="W50" i="14"/>
  <c r="X50" i="14"/>
  <c r="Y43" i="15"/>
  <c r="AH43" i="15"/>
  <c r="AO43" i="15"/>
  <c r="H51" i="7"/>
  <c r="W56" i="14"/>
  <c r="X56" i="14"/>
  <c r="Y49" i="15"/>
  <c r="AH49" i="15"/>
  <c r="AO49" i="15"/>
  <c r="Z58" i="14"/>
  <c r="AA58" i="14"/>
  <c r="Z51" i="15"/>
  <c r="AI51" i="15"/>
  <c r="AQ51" i="15"/>
  <c r="V63" i="7"/>
  <c r="AE56" i="15"/>
  <c r="L63" i="14"/>
  <c r="Y57" i="15"/>
  <c r="AH57" i="15"/>
  <c r="AO57" i="15"/>
  <c r="AH70" i="7"/>
  <c r="V71" i="7"/>
  <c r="AE64" i="15"/>
  <c r="L71" i="14"/>
  <c r="W72" i="14"/>
  <c r="X72" i="14"/>
  <c r="Y65" i="15"/>
  <c r="AH65" i="15"/>
  <c r="AO65" i="15"/>
  <c r="Z74" i="14"/>
  <c r="AA74" i="14"/>
  <c r="Z67" i="15"/>
  <c r="AI67" i="15"/>
  <c r="AQ67" i="15"/>
  <c r="AF41" i="15"/>
  <c r="M48" i="14"/>
  <c r="Z36" i="15"/>
  <c r="AI36" i="15"/>
  <c r="AQ36" i="15"/>
  <c r="Z57" i="14"/>
  <c r="AA57" i="14"/>
  <c r="Z50" i="15"/>
  <c r="AI50" i="15"/>
  <c r="AQ50" i="15"/>
  <c r="AH61" i="7"/>
  <c r="V62" i="7"/>
  <c r="AE55" i="15"/>
  <c r="L62" i="14"/>
  <c r="Z65" i="14"/>
  <c r="AA65" i="14"/>
  <c r="Z58" i="15"/>
  <c r="AI58" i="15"/>
  <c r="AQ58" i="15"/>
  <c r="H68" i="7"/>
  <c r="AH69" i="7"/>
  <c r="V70" i="7"/>
  <c r="AE63" i="15"/>
  <c r="L70" i="14"/>
  <c r="W40" i="14"/>
  <c r="X40" i="14"/>
  <c r="Z42" i="14"/>
  <c r="AA42" i="14"/>
  <c r="Z35" i="15"/>
  <c r="AI35" i="15"/>
  <c r="AQ35" i="15"/>
  <c r="V44" i="7"/>
  <c r="AE40" i="15"/>
  <c r="L47" i="14"/>
  <c r="W48" i="14"/>
  <c r="X48" i="14"/>
  <c r="Y41" i="15"/>
  <c r="AH41" i="15"/>
  <c r="AO41" i="15"/>
  <c r="Z50" i="14"/>
  <c r="AA50" i="14"/>
  <c r="Z43" i="15"/>
  <c r="AI43" i="15"/>
  <c r="AQ43" i="15"/>
  <c r="W55" i="14"/>
  <c r="X55" i="14"/>
  <c r="Y48" i="15"/>
  <c r="AH48" i="15"/>
  <c r="AO48" i="15"/>
  <c r="Z56" i="14"/>
  <c r="AA56" i="14"/>
  <c r="Z49" i="15"/>
  <c r="AI49" i="15"/>
  <c r="AQ49" i="15"/>
  <c r="AH60" i="7"/>
  <c r="W62" i="14"/>
  <c r="X62" i="14"/>
  <c r="Y55" i="15"/>
  <c r="AH55" i="15"/>
  <c r="AO55" i="15"/>
  <c r="Z57" i="15"/>
  <c r="AI57" i="15"/>
  <c r="AQ57" i="15"/>
  <c r="H67" i="7"/>
  <c r="I67" i="7"/>
  <c r="H60" i="15"/>
  <c r="Y63" i="15"/>
  <c r="AH63" i="15"/>
  <c r="AO63" i="15"/>
  <c r="Z72" i="14"/>
  <c r="AA72" i="14"/>
  <c r="Z65" i="15"/>
  <c r="AI65" i="15"/>
  <c r="AQ65" i="15"/>
  <c r="AH42" i="7"/>
  <c r="V43" i="7"/>
  <c r="AE39" i="15"/>
  <c r="L46" i="14"/>
  <c r="V50" i="7"/>
  <c r="AE46" i="15"/>
  <c r="L53" i="14"/>
  <c r="W61" i="14"/>
  <c r="X61" i="14"/>
  <c r="Y54" i="15"/>
  <c r="AH54" i="15"/>
  <c r="AO54" i="15"/>
  <c r="W69" i="14"/>
  <c r="X69" i="14"/>
  <c r="Y62" i="15"/>
  <c r="AH62" i="15"/>
  <c r="AO62" i="15"/>
  <c r="W53" i="14"/>
  <c r="X53" i="14"/>
  <c r="Y46" i="15"/>
  <c r="AH46" i="15"/>
  <c r="AO46" i="15"/>
  <c r="Z55" i="14"/>
  <c r="AA55" i="14"/>
  <c r="Z48" i="15"/>
  <c r="AI48" i="15"/>
  <c r="AQ48" i="15"/>
  <c r="AH58" i="7"/>
  <c r="V59" i="7"/>
  <c r="AE52" i="15"/>
  <c r="L59" i="14"/>
  <c r="Y53" i="15"/>
  <c r="AH53" i="15"/>
  <c r="AO53" i="15"/>
  <c r="W60" i="7"/>
  <c r="W61" i="7"/>
  <c r="W62" i="7"/>
  <c r="Z62" i="14"/>
  <c r="AA62" i="14"/>
  <c r="Z55" i="15"/>
  <c r="AI55" i="15"/>
  <c r="AQ55" i="15"/>
  <c r="AH66" i="7"/>
  <c r="V67" i="7"/>
  <c r="AE60" i="15"/>
  <c r="L67" i="14"/>
  <c r="Z63" i="15"/>
  <c r="AI63" i="15"/>
  <c r="AQ63" i="15"/>
  <c r="H73" i="7"/>
  <c r="AH74" i="7"/>
  <c r="N68" i="15"/>
  <c r="AH75" i="7"/>
  <c r="Z32" i="15"/>
  <c r="AI32" i="15"/>
  <c r="AQ32" i="15"/>
  <c r="Y32" i="15"/>
  <c r="AH32" i="15"/>
  <c r="AO32" i="15"/>
  <c r="N16" i="14"/>
  <c r="O16" i="14"/>
  <c r="W16" i="14"/>
  <c r="X16" i="14"/>
  <c r="Z16" i="14"/>
  <c r="AA16" i="14"/>
  <c r="Y13" i="15"/>
  <c r="AH13" i="15"/>
  <c r="AO13" i="15"/>
  <c r="Z13" i="15"/>
  <c r="AI13" i="15"/>
  <c r="AQ13" i="15"/>
  <c r="N67" i="14"/>
  <c r="O67" i="14"/>
  <c r="W67" i="14"/>
  <c r="X67" i="14"/>
  <c r="Z67" i="14"/>
  <c r="AA67" i="14"/>
  <c r="Y34" i="15"/>
  <c r="AH34" i="15"/>
  <c r="AO34" i="15"/>
  <c r="Z34" i="15"/>
  <c r="AI34" i="15"/>
  <c r="AQ34" i="15"/>
  <c r="Y24" i="15"/>
  <c r="AH24" i="15"/>
  <c r="AO24" i="15"/>
  <c r="Z24" i="15"/>
  <c r="AI24" i="15"/>
  <c r="AQ24" i="15"/>
  <c r="Y6" i="15"/>
  <c r="AH6" i="15"/>
  <c r="AO6" i="15"/>
  <c r="Z6" i="15"/>
  <c r="AI6" i="15"/>
  <c r="AQ6" i="15"/>
  <c r="N28" i="14"/>
  <c r="O28" i="14"/>
  <c r="Z28" i="14"/>
  <c r="AA28" i="14"/>
  <c r="W28" i="14"/>
  <c r="X28" i="14"/>
  <c r="R59" i="15"/>
  <c r="AK66" i="7"/>
  <c r="R62" i="15"/>
  <c r="AK69" i="7"/>
  <c r="AF40" i="15"/>
  <c r="M47" i="14"/>
  <c r="AF42" i="15"/>
  <c r="M49" i="14"/>
  <c r="R61" i="13"/>
  <c r="T61" i="13"/>
  <c r="Q61" i="13"/>
  <c r="S61" i="13"/>
  <c r="AF22" i="15"/>
  <c r="M29" i="14"/>
  <c r="R9" i="15"/>
  <c r="AK10" i="7"/>
  <c r="AF44" i="15"/>
  <c r="M51" i="14"/>
  <c r="AF28" i="15"/>
  <c r="M35" i="14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R38" i="17"/>
  <c r="T38" i="17"/>
  <c r="Q38" i="17"/>
  <c r="S38" i="17"/>
  <c r="I44" i="7"/>
  <c r="H40" i="15"/>
  <c r="Q65" i="13"/>
  <c r="S65" i="13"/>
  <c r="R65" i="13"/>
  <c r="T65" i="13"/>
  <c r="AI10" i="7"/>
  <c r="AA150" i="12"/>
  <c r="Y151" i="12"/>
  <c r="Z64" i="14"/>
  <c r="AA64" i="14"/>
  <c r="Y33" i="15"/>
  <c r="AH33" i="15"/>
  <c r="AO33" i="15"/>
  <c r="AF61" i="15"/>
  <c r="M68" i="14"/>
  <c r="AF47" i="15"/>
  <c r="M54" i="14"/>
  <c r="R48" i="15"/>
  <c r="AK55" i="7"/>
  <c r="R50" i="15"/>
  <c r="AK57" i="7"/>
  <c r="R53" i="13"/>
  <c r="T53" i="13"/>
  <c r="AC31" i="7"/>
  <c r="Q53" i="13"/>
  <c r="S53" i="13"/>
  <c r="AB31" i="7"/>
  <c r="T27" i="15"/>
  <c r="AF40" i="14"/>
  <c r="AG40" i="14"/>
  <c r="X33" i="15"/>
  <c r="AK33" i="15"/>
  <c r="AU33" i="15"/>
  <c r="AZ33" i="15"/>
  <c r="R54" i="13"/>
  <c r="T54" i="13"/>
  <c r="AC32" i="7"/>
  <c r="Q54" i="13"/>
  <c r="S54" i="13"/>
  <c r="AB32" i="7"/>
  <c r="T28" i="15"/>
  <c r="AF27" i="15"/>
  <c r="M34" i="14"/>
  <c r="H91" i="7"/>
  <c r="J91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AH18" i="7"/>
  <c r="AF8" i="15"/>
  <c r="M15" i="14"/>
  <c r="R73" i="13"/>
  <c r="T73" i="13"/>
  <c r="AC49" i="7"/>
  <c r="Q73" i="13"/>
  <c r="S73" i="13"/>
  <c r="AB49" i="7"/>
  <c r="T45" i="15"/>
  <c r="R18" i="15"/>
  <c r="AK19" i="7"/>
  <c r="R10" i="15"/>
  <c r="AK11" i="7"/>
  <c r="Q56" i="13"/>
  <c r="S56" i="13"/>
  <c r="AB34" i="7"/>
  <c r="T30" i="15"/>
  <c r="R56" i="13"/>
  <c r="T56" i="13"/>
  <c r="AC34" i="7"/>
  <c r="R11" i="15"/>
  <c r="AK12" i="7"/>
  <c r="R95" i="13"/>
  <c r="T95" i="13"/>
  <c r="Q95" i="13"/>
  <c r="S95" i="13"/>
  <c r="R30" i="13"/>
  <c r="T30" i="13"/>
  <c r="AC8" i="7"/>
  <c r="Q30" i="13"/>
  <c r="S30" i="13"/>
  <c r="AB8" i="7"/>
  <c r="T7" i="15"/>
  <c r="L44" i="15"/>
  <c r="AH48" i="7"/>
  <c r="R37" i="17"/>
  <c r="T37" i="17"/>
  <c r="Q37" i="17"/>
  <c r="S37" i="17"/>
  <c r="R96" i="13"/>
  <c r="T96" i="13"/>
  <c r="AC69" i="7"/>
  <c r="Q96" i="13"/>
  <c r="S96" i="13"/>
  <c r="AB69" i="7"/>
  <c r="T62" i="15"/>
  <c r="AF57" i="14"/>
  <c r="AG57" i="14"/>
  <c r="X50" i="15"/>
  <c r="AK50" i="15"/>
  <c r="AU50" i="15"/>
  <c r="AZ50" i="15"/>
  <c r="R79" i="13"/>
  <c r="T79" i="13"/>
  <c r="AC56" i="7"/>
  <c r="Q79" i="13"/>
  <c r="S79" i="13"/>
  <c r="AB56" i="7"/>
  <c r="T49" i="15"/>
  <c r="L47" i="15"/>
  <c r="AH51" i="7"/>
  <c r="I25" i="7"/>
  <c r="H24" i="15"/>
  <c r="AF33" i="14"/>
  <c r="AG33" i="14"/>
  <c r="X26" i="15"/>
  <c r="AK26" i="15"/>
  <c r="AU26" i="15"/>
  <c r="AZ26" i="15"/>
  <c r="I9" i="7"/>
  <c r="H8" i="15"/>
  <c r="W63" i="15"/>
  <c r="AB33" i="15"/>
  <c r="L24" i="15"/>
  <c r="AH25" i="7"/>
  <c r="AA113" i="12"/>
  <c r="Y114" i="12"/>
  <c r="I68" i="7"/>
  <c r="H61" i="15"/>
  <c r="J44" i="7"/>
  <c r="I40" i="15"/>
  <c r="AF69" i="14"/>
  <c r="AG69" i="14"/>
  <c r="X62" i="15"/>
  <c r="AK62" i="15"/>
  <c r="AU62" i="15"/>
  <c r="AZ62" i="15"/>
  <c r="W45" i="15"/>
  <c r="W6" i="15"/>
  <c r="AF43" i="14"/>
  <c r="AG43" i="14"/>
  <c r="X36" i="15"/>
  <c r="AK36" i="15"/>
  <c r="AU36" i="15"/>
  <c r="AZ36" i="15"/>
  <c r="W19" i="15"/>
  <c r="I38" i="7"/>
  <c r="H34" i="15"/>
  <c r="AF41" i="14"/>
  <c r="AG41" i="14"/>
  <c r="X34" i="15"/>
  <c r="AK34" i="15"/>
  <c r="AU34" i="15"/>
  <c r="AZ34" i="15"/>
  <c r="W40" i="15"/>
  <c r="R40" i="13"/>
  <c r="T40" i="13"/>
  <c r="Q40" i="13"/>
  <c r="S40" i="13"/>
  <c r="R31" i="13"/>
  <c r="T31" i="13"/>
  <c r="AC9" i="7"/>
  <c r="Q31" i="13"/>
  <c r="S31" i="13"/>
  <c r="AB9" i="7"/>
  <c r="T8" i="15"/>
  <c r="AF21" i="15"/>
  <c r="M28" i="14"/>
  <c r="R67" i="15"/>
  <c r="AK74" i="7"/>
  <c r="AF66" i="15"/>
  <c r="M73" i="14"/>
  <c r="W64" i="14"/>
  <c r="X64" i="14"/>
  <c r="H92" i="7"/>
  <c r="J92" i="7"/>
  <c r="W43" i="14"/>
  <c r="X43" i="14"/>
  <c r="R65" i="15"/>
  <c r="AK72" i="7"/>
  <c r="AH64" i="7"/>
  <c r="R49" i="15"/>
  <c r="AK56" i="7"/>
  <c r="R58" i="15"/>
  <c r="AK65" i="7"/>
  <c r="R45" i="13"/>
  <c r="T45" i="13"/>
  <c r="Q45" i="13"/>
  <c r="S45" i="13"/>
  <c r="Z27" i="14"/>
  <c r="AA27" i="14"/>
  <c r="R46" i="17"/>
  <c r="T46" i="17"/>
  <c r="Q46" i="17"/>
  <c r="S46" i="17"/>
  <c r="AF16" i="15"/>
  <c r="M23" i="14"/>
  <c r="R64" i="13"/>
  <c r="T64" i="13"/>
  <c r="Q64" i="13"/>
  <c r="S64" i="13"/>
  <c r="AF17" i="15"/>
  <c r="M24" i="14"/>
  <c r="AF9" i="15"/>
  <c r="M16" i="14"/>
  <c r="Q48" i="13"/>
  <c r="S48" i="13"/>
  <c r="AB22" i="7"/>
  <c r="T21" i="15"/>
  <c r="R48" i="13"/>
  <c r="T48" i="13"/>
  <c r="AC22" i="7"/>
  <c r="R19" i="15"/>
  <c r="AK20" i="7"/>
  <c r="Z7" i="15"/>
  <c r="AI7" i="15"/>
  <c r="AQ7" i="15"/>
  <c r="R94" i="13"/>
  <c r="T94" i="13"/>
  <c r="AC68" i="7"/>
  <c r="Q94" i="13"/>
  <c r="S94" i="13"/>
  <c r="AF31" i="15"/>
  <c r="M38" i="14"/>
  <c r="R36" i="17"/>
  <c r="T36" i="17"/>
  <c r="Q36" i="17"/>
  <c r="S36" i="17"/>
  <c r="W36" i="17"/>
  <c r="R85" i="13"/>
  <c r="T85" i="13"/>
  <c r="AC62" i="7"/>
  <c r="Q85" i="13"/>
  <c r="S85" i="13"/>
  <c r="AB62" i="7"/>
  <c r="T55" i="15"/>
  <c r="AF72" i="14"/>
  <c r="AG72" i="14"/>
  <c r="X65" i="15"/>
  <c r="AK65" i="15"/>
  <c r="AU65" i="15"/>
  <c r="AZ65" i="15"/>
  <c r="R70" i="13"/>
  <c r="T70" i="13"/>
  <c r="AC46" i="7"/>
  <c r="Q70" i="13"/>
  <c r="S70" i="13"/>
  <c r="AB46" i="7"/>
  <c r="T42" i="15"/>
  <c r="AF17" i="14"/>
  <c r="AG17" i="14"/>
  <c r="X10" i="15"/>
  <c r="AK10" i="15"/>
  <c r="AU10" i="15"/>
  <c r="AZ10" i="15"/>
  <c r="J9" i="7"/>
  <c r="I8" i="15"/>
  <c r="W52" i="15"/>
  <c r="AF50" i="14"/>
  <c r="AG50" i="14"/>
  <c r="X43" i="15"/>
  <c r="AK43" i="15"/>
  <c r="AU43" i="15"/>
  <c r="AZ43" i="15"/>
  <c r="I18" i="7"/>
  <c r="H17" i="15"/>
  <c r="AA71" i="12"/>
  <c r="Y72" i="12"/>
  <c r="J68" i="7"/>
  <c r="I61" i="15"/>
  <c r="J22" i="7"/>
  <c r="I21" i="15"/>
  <c r="Y51" i="12"/>
  <c r="AA50" i="12"/>
  <c r="AF22" i="14"/>
  <c r="AG22" i="14"/>
  <c r="X15" i="15"/>
  <c r="AK15" i="15"/>
  <c r="AU15" i="15"/>
  <c r="AZ15" i="15"/>
  <c r="J10" i="7"/>
  <c r="I9" i="15"/>
  <c r="W9" i="15"/>
  <c r="W61" i="15"/>
  <c r="Z5" i="12"/>
  <c r="AF62" i="14"/>
  <c r="AG62" i="14"/>
  <c r="X55" i="15"/>
  <c r="AK55" i="15"/>
  <c r="AU55" i="15"/>
  <c r="AZ55" i="15"/>
  <c r="R82" i="13"/>
  <c r="T82" i="13"/>
  <c r="AC59" i="7"/>
  <c r="Q82" i="13"/>
  <c r="S82" i="13"/>
  <c r="AB59" i="7"/>
  <c r="T52" i="15"/>
  <c r="R105" i="13"/>
  <c r="T105" i="13"/>
  <c r="Q105" i="13"/>
  <c r="S105" i="13"/>
  <c r="R88" i="13"/>
  <c r="T88" i="13"/>
  <c r="AC63" i="7"/>
  <c r="Q88" i="13"/>
  <c r="S88" i="13"/>
  <c r="AB63" i="7"/>
  <c r="T56" i="15"/>
  <c r="AF59" i="14"/>
  <c r="AG59" i="14"/>
  <c r="X52" i="15"/>
  <c r="AK52" i="15"/>
  <c r="AU52" i="15"/>
  <c r="R34" i="15"/>
  <c r="AK38" i="7"/>
  <c r="AF64" i="15"/>
  <c r="M71" i="14"/>
  <c r="AF56" i="15"/>
  <c r="M63" i="14"/>
  <c r="W63" i="7"/>
  <c r="W64" i="7"/>
  <c r="W65" i="7"/>
  <c r="W66" i="7"/>
  <c r="R44" i="13"/>
  <c r="T44" i="13"/>
  <c r="Q44" i="13"/>
  <c r="S44" i="13"/>
  <c r="AF55" i="14"/>
  <c r="AG55" i="14"/>
  <c r="X48" i="15"/>
  <c r="AK48" i="15"/>
  <c r="AU48" i="15"/>
  <c r="AZ48" i="15"/>
  <c r="W33" i="15"/>
  <c r="R44" i="17"/>
  <c r="T44" i="17"/>
  <c r="Q44" i="17"/>
  <c r="S44" i="17"/>
  <c r="R63" i="13"/>
  <c r="T63" i="13"/>
  <c r="AC41" i="7"/>
  <c r="Q63" i="13"/>
  <c r="S63" i="13"/>
  <c r="L60" i="15"/>
  <c r="AH67" i="7"/>
  <c r="Q102" i="13"/>
  <c r="S102" i="13"/>
  <c r="AB75" i="7"/>
  <c r="T68" i="15"/>
  <c r="R102" i="13"/>
  <c r="T102" i="13"/>
  <c r="AC75" i="7"/>
  <c r="Q38" i="13"/>
  <c r="S38" i="13"/>
  <c r="AB15" i="7"/>
  <c r="T14" i="15"/>
  <c r="R38" i="13"/>
  <c r="T38" i="13"/>
  <c r="AC15" i="7"/>
  <c r="AF18" i="15"/>
  <c r="M25" i="14"/>
  <c r="R84" i="13"/>
  <c r="T84" i="13"/>
  <c r="AC61" i="7"/>
  <c r="Q84" i="13"/>
  <c r="S84" i="13"/>
  <c r="AB61" i="7"/>
  <c r="T54" i="15"/>
  <c r="R30" i="15"/>
  <c r="AK34" i="7"/>
  <c r="R35" i="17"/>
  <c r="T35" i="17"/>
  <c r="Q35" i="17"/>
  <c r="S35" i="17"/>
  <c r="R77" i="13"/>
  <c r="T77" i="13"/>
  <c r="AC51" i="7"/>
  <c r="Q77" i="13"/>
  <c r="S77" i="13"/>
  <c r="AB51" i="7"/>
  <c r="T47" i="15"/>
  <c r="AI72" i="7"/>
  <c r="AF56" i="14"/>
  <c r="AG56" i="14"/>
  <c r="X49" i="15"/>
  <c r="AK49" i="15"/>
  <c r="AU49" i="15"/>
  <c r="AZ49" i="15"/>
  <c r="R60" i="13"/>
  <c r="T60" i="13"/>
  <c r="AC38" i="7"/>
  <c r="Q60" i="13"/>
  <c r="S60" i="13"/>
  <c r="AB38" i="7"/>
  <c r="T34" i="15"/>
  <c r="I48" i="7"/>
  <c r="H44" i="15"/>
  <c r="L13" i="15"/>
  <c r="AH14" i="7"/>
  <c r="L12" i="15"/>
  <c r="AH13" i="7"/>
  <c r="J18" i="7"/>
  <c r="I17" i="15"/>
  <c r="I7" i="7"/>
  <c r="H6" i="15"/>
  <c r="AF46" i="14"/>
  <c r="AG46" i="14"/>
  <c r="X39" i="15"/>
  <c r="AK39" i="15"/>
  <c r="AU39" i="15"/>
  <c r="AZ39" i="15"/>
  <c r="W24" i="15"/>
  <c r="L23" i="15"/>
  <c r="AH24" i="7"/>
  <c r="I36" i="7"/>
  <c r="H32" i="15"/>
  <c r="W62" i="15"/>
  <c r="AF37" i="14"/>
  <c r="AG37" i="14"/>
  <c r="X30" i="15"/>
  <c r="AK30" i="15"/>
  <c r="AU30" i="15"/>
  <c r="AZ30" i="15"/>
  <c r="W15" i="15"/>
  <c r="I71" i="7"/>
  <c r="H64" i="15"/>
  <c r="I32" i="7"/>
  <c r="H28" i="15"/>
  <c r="L29" i="15"/>
  <c r="AH33" i="7"/>
  <c r="AF61" i="14"/>
  <c r="AG61" i="14"/>
  <c r="X54" i="15"/>
  <c r="AK54" i="15"/>
  <c r="AU54" i="15"/>
  <c r="AZ54" i="15"/>
  <c r="W36" i="15"/>
  <c r="AF21" i="14"/>
  <c r="AG21" i="14"/>
  <c r="X14" i="15"/>
  <c r="AK14" i="15"/>
  <c r="AU14" i="15"/>
  <c r="AZ14" i="15"/>
  <c r="I17" i="7"/>
  <c r="H16" i="15"/>
  <c r="W34" i="15"/>
  <c r="AA5" i="12"/>
  <c r="AA6" i="12"/>
  <c r="R26" i="15"/>
  <c r="AK27" i="7"/>
  <c r="AF64" i="14"/>
  <c r="AG64" i="14"/>
  <c r="X57" i="15"/>
  <c r="AK57" i="15"/>
  <c r="AU57" i="15"/>
  <c r="AZ57" i="15"/>
  <c r="AI40" i="14"/>
  <c r="AJ40" i="14"/>
  <c r="AG33" i="15"/>
  <c r="AL33" i="15"/>
  <c r="AW33" i="15"/>
  <c r="L61" i="15"/>
  <c r="AH68" i="7"/>
  <c r="Z70" i="14"/>
  <c r="AA70" i="14"/>
  <c r="AH62" i="7"/>
  <c r="W42" i="14"/>
  <c r="X42" i="14"/>
  <c r="R66" i="15"/>
  <c r="AK73" i="7"/>
  <c r="W45" i="14"/>
  <c r="X45" i="14"/>
  <c r="R7" i="15"/>
  <c r="AK8" i="7"/>
  <c r="R35" i="13"/>
  <c r="T35" i="13"/>
  <c r="AC12" i="7"/>
  <c r="Q35" i="13"/>
  <c r="S35" i="13"/>
  <c r="AB12" i="7"/>
  <c r="T11" i="15"/>
  <c r="AI55" i="7"/>
  <c r="R100" i="13"/>
  <c r="T100" i="13"/>
  <c r="AC73" i="7"/>
  <c r="Q100" i="13"/>
  <c r="S100" i="13"/>
  <c r="AB73" i="7"/>
  <c r="T66" i="15"/>
  <c r="Z20" i="14"/>
  <c r="AA20" i="14"/>
  <c r="R45" i="17"/>
  <c r="T45" i="17"/>
  <c r="Q45" i="17"/>
  <c r="S45" i="17"/>
  <c r="R55" i="13"/>
  <c r="T55" i="13"/>
  <c r="AC33" i="7"/>
  <c r="Q55" i="13"/>
  <c r="S55" i="13"/>
  <c r="AB33" i="7"/>
  <c r="T29" i="15"/>
  <c r="AF45" i="14"/>
  <c r="AG45" i="14"/>
  <c r="X38" i="15"/>
  <c r="AK38" i="15"/>
  <c r="AU38" i="15"/>
  <c r="AZ38" i="15"/>
  <c r="W30" i="14"/>
  <c r="X30" i="14"/>
  <c r="Q93" i="13"/>
  <c r="S93" i="13"/>
  <c r="AB67" i="7"/>
  <c r="T60" i="15"/>
  <c r="R93" i="13"/>
  <c r="T93" i="13"/>
  <c r="AC67" i="7"/>
  <c r="Q29" i="13"/>
  <c r="S29" i="13"/>
  <c r="AB7" i="7"/>
  <c r="T6" i="15"/>
  <c r="R29" i="13"/>
  <c r="T29" i="13"/>
  <c r="AC7" i="7"/>
  <c r="R76" i="13"/>
  <c r="T76" i="13"/>
  <c r="AC50" i="7"/>
  <c r="Q76" i="13"/>
  <c r="S76" i="13"/>
  <c r="AB50" i="7"/>
  <c r="T46" i="15"/>
  <c r="L37" i="15"/>
  <c r="AH41" i="7"/>
  <c r="W37" i="14"/>
  <c r="X37" i="14"/>
  <c r="Y30" i="15"/>
  <c r="AH30" i="15"/>
  <c r="AO30" i="15"/>
  <c r="R33" i="17"/>
  <c r="T33" i="17"/>
  <c r="AC17" i="7"/>
  <c r="Q33" i="17"/>
  <c r="S33" i="17"/>
  <c r="R68" i="13"/>
  <c r="T68" i="13"/>
  <c r="AC44" i="7"/>
  <c r="Q68" i="13"/>
  <c r="S68" i="13"/>
  <c r="AB44" i="7"/>
  <c r="T40" i="15"/>
  <c r="R41" i="17"/>
  <c r="T41" i="17"/>
  <c r="Q41" i="17"/>
  <c r="S41" i="17"/>
  <c r="R52" i="13"/>
  <c r="T52" i="13"/>
  <c r="AC27" i="7"/>
  <c r="Q52" i="13"/>
  <c r="S52" i="13"/>
  <c r="AB27" i="7"/>
  <c r="T26" i="15"/>
  <c r="AI16" i="14"/>
  <c r="AJ16" i="14"/>
  <c r="AG9" i="15"/>
  <c r="AL9" i="15"/>
  <c r="AW9" i="15"/>
  <c r="AF42" i="14"/>
  <c r="AG42" i="14"/>
  <c r="X35" i="15"/>
  <c r="AK35" i="15"/>
  <c r="AU35" i="15"/>
  <c r="AZ35" i="15"/>
  <c r="J48" i="7"/>
  <c r="I44" i="15"/>
  <c r="AI55" i="14"/>
  <c r="AJ55" i="14"/>
  <c r="AG48" i="15"/>
  <c r="AL48" i="15"/>
  <c r="AW48" i="15"/>
  <c r="AF23" i="14"/>
  <c r="AG23" i="14"/>
  <c r="I51" i="7"/>
  <c r="H47" i="15"/>
  <c r="C18" i="3"/>
  <c r="H16" i="3"/>
  <c r="I63" i="7"/>
  <c r="H56" i="15"/>
  <c r="L56" i="15"/>
  <c r="AH63" i="7"/>
  <c r="L8" i="15"/>
  <c r="AH9" i="7"/>
  <c r="J71" i="7"/>
  <c r="I64" i="15"/>
  <c r="I46" i="7"/>
  <c r="H42" i="15"/>
  <c r="AF49" i="14"/>
  <c r="AG49" i="14"/>
  <c r="J32" i="7"/>
  <c r="I28" i="15"/>
  <c r="AI70" i="14"/>
  <c r="AJ70" i="14"/>
  <c r="AG63" i="15"/>
  <c r="AL63" i="15"/>
  <c r="AW63" i="15"/>
  <c r="AF35" i="14"/>
  <c r="AG35" i="14"/>
  <c r="X28" i="15"/>
  <c r="AK28" i="15"/>
  <c r="AU28" i="15"/>
  <c r="W14" i="15"/>
  <c r="I35" i="7"/>
  <c r="H31" i="15"/>
  <c r="J17" i="7"/>
  <c r="I16" i="15"/>
  <c r="X16" i="15"/>
  <c r="AK16" i="15"/>
  <c r="AU16" i="15"/>
  <c r="R62" i="13"/>
  <c r="T62" i="13"/>
  <c r="AC40" i="7"/>
  <c r="Q62" i="13"/>
  <c r="S62" i="13"/>
  <c r="AB40" i="7"/>
  <c r="T36" i="15"/>
  <c r="R104" i="13"/>
  <c r="T104" i="13"/>
  <c r="Q104" i="13"/>
  <c r="S104" i="13"/>
  <c r="W32" i="15"/>
  <c r="L6" i="15"/>
  <c r="AH7" i="7"/>
  <c r="W60" i="14"/>
  <c r="X60" i="14"/>
  <c r="AH59" i="7"/>
  <c r="R38" i="15"/>
  <c r="AK42" i="7"/>
  <c r="R53" i="15"/>
  <c r="AK60" i="7"/>
  <c r="Z43" i="14"/>
  <c r="AA43" i="14"/>
  <c r="Z52" i="15"/>
  <c r="AI52" i="15"/>
  <c r="AQ52" i="15"/>
  <c r="Z60" i="14"/>
  <c r="AA60" i="14"/>
  <c r="R35" i="15"/>
  <c r="AK39" i="7"/>
  <c r="R89" i="13"/>
  <c r="T89" i="13"/>
  <c r="AC64" i="7"/>
  <c r="Q89" i="13"/>
  <c r="S89" i="13"/>
  <c r="AB64" i="7"/>
  <c r="T57" i="15"/>
  <c r="L64" i="15"/>
  <c r="AH71" i="7"/>
  <c r="R16" i="15"/>
  <c r="AK17" i="7"/>
  <c r="R90" i="13"/>
  <c r="T90" i="13"/>
  <c r="AC65" i="7"/>
  <c r="Q90" i="13"/>
  <c r="S90" i="13"/>
  <c r="AB65" i="7"/>
  <c r="T58" i="15"/>
  <c r="R39" i="15"/>
  <c r="AK43" i="7"/>
  <c r="R101" i="13"/>
  <c r="T101" i="13"/>
  <c r="AC74" i="7"/>
  <c r="Q101" i="13"/>
  <c r="S101" i="13"/>
  <c r="AB74" i="7"/>
  <c r="T67" i="15"/>
  <c r="R47" i="13"/>
  <c r="T47" i="13"/>
  <c r="AC21" i="7"/>
  <c r="Q47" i="13"/>
  <c r="S47" i="13"/>
  <c r="AB21" i="7"/>
  <c r="T20" i="15"/>
  <c r="Q83" i="13"/>
  <c r="S83" i="13"/>
  <c r="AB60" i="7"/>
  <c r="T53" i="15"/>
  <c r="R83" i="13"/>
  <c r="T83" i="13"/>
  <c r="AC60" i="7"/>
  <c r="R67" i="13"/>
  <c r="T67" i="13"/>
  <c r="AC43" i="7"/>
  <c r="Q67" i="13"/>
  <c r="S67" i="13"/>
  <c r="AB43" i="7"/>
  <c r="T39" i="15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R32" i="17"/>
  <c r="T32" i="17"/>
  <c r="Q32" i="17"/>
  <c r="S32" i="17"/>
  <c r="R58" i="13"/>
  <c r="T58" i="13"/>
  <c r="AC36" i="7"/>
  <c r="Q58" i="13"/>
  <c r="S58" i="13"/>
  <c r="AB36" i="7"/>
  <c r="T32" i="15"/>
  <c r="AF75" i="14"/>
  <c r="AG75" i="14"/>
  <c r="X68" i="15"/>
  <c r="AK68" i="15"/>
  <c r="AU68" i="15"/>
  <c r="AZ68" i="15"/>
  <c r="AF6" i="15"/>
  <c r="M13" i="14"/>
  <c r="H90" i="7"/>
  <c r="J90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R43" i="13"/>
  <c r="T43" i="13"/>
  <c r="AC18" i="7"/>
  <c r="Q43" i="13"/>
  <c r="S43" i="13"/>
  <c r="AB18" i="7"/>
  <c r="T17" i="15"/>
  <c r="AB9" i="15"/>
  <c r="I73" i="7"/>
  <c r="H66" i="15"/>
  <c r="AF73" i="14"/>
  <c r="AG73" i="14"/>
  <c r="I31" i="7"/>
  <c r="H27" i="15"/>
  <c r="W13" i="15"/>
  <c r="AI48" i="14"/>
  <c r="AJ48" i="14"/>
  <c r="AG41" i="15"/>
  <c r="AL41" i="15"/>
  <c r="AW41" i="15"/>
  <c r="W12" i="15"/>
  <c r="G37" i="15"/>
  <c r="J41" i="7"/>
  <c r="I37" i="15"/>
  <c r="I41" i="7"/>
  <c r="H37" i="15"/>
  <c r="W39" i="15"/>
  <c r="J51" i="7"/>
  <c r="I47" i="15"/>
  <c r="AI32" i="14"/>
  <c r="AJ32" i="14"/>
  <c r="AG25" i="15"/>
  <c r="AL25" i="15"/>
  <c r="AW25" i="15"/>
  <c r="W23" i="15"/>
  <c r="J63" i="7"/>
  <c r="I56" i="15"/>
  <c r="W30" i="15"/>
  <c r="J46" i="7"/>
  <c r="I42" i="15"/>
  <c r="W42" i="15"/>
  <c r="W29" i="15"/>
  <c r="AB63" i="15"/>
  <c r="W54" i="15"/>
  <c r="J35" i="7"/>
  <c r="I31" i="15"/>
  <c r="W75" i="14"/>
  <c r="X75" i="14"/>
  <c r="Y68" i="15"/>
  <c r="AH68" i="15"/>
  <c r="AO68" i="15"/>
  <c r="AF34" i="15"/>
  <c r="M41" i="14"/>
  <c r="R36" i="15"/>
  <c r="AK40" i="7"/>
  <c r="R15" i="15"/>
  <c r="AK16" i="7"/>
  <c r="R80" i="13"/>
  <c r="T80" i="13"/>
  <c r="AC57" i="7"/>
  <c r="Q80" i="13"/>
  <c r="S80" i="13"/>
  <c r="AB57" i="7"/>
  <c r="T50" i="15"/>
  <c r="L40" i="15"/>
  <c r="AH44" i="7"/>
  <c r="R81" i="13"/>
  <c r="T81" i="13"/>
  <c r="AC58" i="7"/>
  <c r="Q81" i="13"/>
  <c r="S81" i="13"/>
  <c r="AB58" i="7"/>
  <c r="T51" i="15"/>
  <c r="W46" i="14"/>
  <c r="X46" i="14"/>
  <c r="Y39" i="15"/>
  <c r="AH39" i="15"/>
  <c r="AO39" i="15"/>
  <c r="R92" i="13"/>
  <c r="T92" i="13"/>
  <c r="Q92" i="13"/>
  <c r="S92" i="13"/>
  <c r="R37" i="13"/>
  <c r="T37" i="13"/>
  <c r="AC14" i="7"/>
  <c r="Q37" i="13"/>
  <c r="S37" i="13"/>
  <c r="AB14" i="7"/>
  <c r="T13" i="15"/>
  <c r="AF60" i="14"/>
  <c r="AG60" i="14"/>
  <c r="X53" i="15"/>
  <c r="AK53" i="15"/>
  <c r="AU53" i="15"/>
  <c r="AZ53" i="15"/>
  <c r="Q75" i="13"/>
  <c r="S75" i="13"/>
  <c r="R75" i="13"/>
  <c r="T75" i="13"/>
  <c r="R34" i="17"/>
  <c r="T34" i="17"/>
  <c r="Q34" i="17"/>
  <c r="S34" i="17"/>
  <c r="R57" i="13"/>
  <c r="T57" i="13"/>
  <c r="AC35" i="7"/>
  <c r="Q57" i="13"/>
  <c r="S57" i="13"/>
  <c r="AB35" i="7"/>
  <c r="T31" i="15"/>
  <c r="AF58" i="14"/>
  <c r="AG58" i="14"/>
  <c r="X51" i="15"/>
  <c r="AK51" i="15"/>
  <c r="AU51" i="15"/>
  <c r="AZ51" i="15"/>
  <c r="R31" i="17"/>
  <c r="T31" i="17"/>
  <c r="AC20" i="7"/>
  <c r="Q31" i="17"/>
  <c r="S31" i="17"/>
  <c r="W31" i="17"/>
  <c r="R50" i="13"/>
  <c r="T50" i="13"/>
  <c r="AC25" i="7"/>
  <c r="Q50" i="13"/>
  <c r="S50" i="13"/>
  <c r="AB25" i="7"/>
  <c r="T24" i="15"/>
  <c r="AF65" i="14"/>
  <c r="AG65" i="14"/>
  <c r="X58" i="15"/>
  <c r="AK58" i="15"/>
  <c r="AU58" i="15"/>
  <c r="AZ58" i="15"/>
  <c r="L46" i="15"/>
  <c r="AH50" i="7"/>
  <c r="R25" i="15"/>
  <c r="AK26" i="7"/>
  <c r="R14" i="15"/>
  <c r="AK15" i="7"/>
  <c r="R42" i="17"/>
  <c r="T42" i="17"/>
  <c r="Q42" i="17"/>
  <c r="S42" i="17"/>
  <c r="R34" i="13"/>
  <c r="T34" i="13"/>
  <c r="Q34" i="13"/>
  <c r="S34" i="13"/>
  <c r="J73" i="7"/>
  <c r="I66" i="15"/>
  <c r="W66" i="15"/>
  <c r="J31" i="7"/>
  <c r="I27" i="15"/>
  <c r="W27" i="15"/>
  <c r="AI72" i="14"/>
  <c r="AJ72" i="14"/>
  <c r="AG65" i="15"/>
  <c r="AL65" i="15"/>
  <c r="AW65" i="15"/>
  <c r="AB41" i="15"/>
  <c r="AF32" i="14"/>
  <c r="AG32" i="14"/>
  <c r="X25" i="15"/>
  <c r="AK25" i="15"/>
  <c r="AU25" i="15"/>
  <c r="AZ25" i="15"/>
  <c r="L32" i="15"/>
  <c r="AH36" i="7"/>
  <c r="W16" i="15"/>
  <c r="AF18" i="14"/>
  <c r="AG18" i="14"/>
  <c r="X11" i="15"/>
  <c r="AK11" i="15"/>
  <c r="AU11" i="15"/>
  <c r="AZ11" i="15"/>
  <c r="W56" i="15"/>
  <c r="L21" i="15"/>
  <c r="AH22" i="7"/>
  <c r="W8" i="15"/>
  <c r="L20" i="15"/>
  <c r="AH21" i="7"/>
  <c r="I19" i="7"/>
  <c r="H18" i="15"/>
  <c r="AI19" i="14"/>
  <c r="AJ19" i="14"/>
  <c r="AG12" i="15"/>
  <c r="AL12" i="15"/>
  <c r="AW12" i="15"/>
  <c r="AF48" i="14"/>
  <c r="AG48" i="14"/>
  <c r="X41" i="15"/>
  <c r="AK41" i="15"/>
  <c r="AU41" i="15"/>
  <c r="AZ41" i="15"/>
  <c r="W28" i="15"/>
  <c r="G16" i="3"/>
  <c r="B18" i="3"/>
  <c r="R27" i="15"/>
  <c r="AK31" i="7"/>
  <c r="W70" i="14"/>
  <c r="X70" i="14"/>
  <c r="R63" i="15"/>
  <c r="AK70" i="7"/>
  <c r="R33" i="15"/>
  <c r="AK37" i="7"/>
  <c r="R42" i="15"/>
  <c r="AK46" i="7"/>
  <c r="R68" i="15"/>
  <c r="AK75" i="7"/>
  <c r="R51" i="15"/>
  <c r="AK58" i="7"/>
  <c r="AF60" i="15"/>
  <c r="M67" i="14"/>
  <c r="W67" i="7"/>
  <c r="W68" i="7"/>
  <c r="W69" i="7"/>
  <c r="W70" i="7"/>
  <c r="W71" i="7"/>
  <c r="W72" i="7"/>
  <c r="W73" i="7"/>
  <c r="W74" i="7"/>
  <c r="W75" i="7"/>
  <c r="R54" i="15"/>
  <c r="AK61" i="7"/>
  <c r="R41" i="15"/>
  <c r="AK45" i="7"/>
  <c r="AC50" i="14"/>
  <c r="AD50" i="14"/>
  <c r="AA43" i="15"/>
  <c r="AJ43" i="15"/>
  <c r="AS43" i="15"/>
  <c r="AY43" i="15"/>
  <c r="R71" i="13"/>
  <c r="T71" i="13"/>
  <c r="AC47" i="7"/>
  <c r="Q71" i="13"/>
  <c r="S71" i="13"/>
  <c r="AB47" i="7"/>
  <c r="T43" i="15"/>
  <c r="W64" i="15"/>
  <c r="Z30" i="14"/>
  <c r="AA30" i="14"/>
  <c r="R72" i="13"/>
  <c r="T72" i="13"/>
  <c r="AC48" i="7"/>
  <c r="Q72" i="13"/>
  <c r="S72" i="13"/>
  <c r="AB48" i="7"/>
  <c r="T44" i="15"/>
  <c r="L31" i="15"/>
  <c r="AH35" i="7"/>
  <c r="R91" i="13"/>
  <c r="T91" i="13"/>
  <c r="AC66" i="7"/>
  <c r="Q91" i="13"/>
  <c r="S91" i="13"/>
  <c r="W31" i="15"/>
  <c r="R28" i="15"/>
  <c r="AK32" i="7"/>
  <c r="W27" i="14"/>
  <c r="X27" i="14"/>
  <c r="Q66" i="13"/>
  <c r="S66" i="13"/>
  <c r="R66" i="13"/>
  <c r="T66" i="13"/>
  <c r="AF37" i="15"/>
  <c r="M44" i="14"/>
  <c r="W20" i="14"/>
  <c r="X20" i="14"/>
  <c r="R30" i="17"/>
  <c r="T30" i="17"/>
  <c r="Q30" i="17"/>
  <c r="S30" i="17"/>
  <c r="R49" i="13"/>
  <c r="T49" i="13"/>
  <c r="AC24" i="7"/>
  <c r="Q49" i="13"/>
  <c r="S49" i="13"/>
  <c r="AB24" i="7"/>
  <c r="T23" i="15"/>
  <c r="AF32" i="15"/>
  <c r="M39" i="14"/>
  <c r="R40" i="17"/>
  <c r="T40" i="17"/>
  <c r="Q40" i="17"/>
  <c r="S40" i="17"/>
  <c r="R29" i="17"/>
  <c r="T29" i="17"/>
  <c r="Q29" i="17"/>
  <c r="S29" i="17"/>
  <c r="R41" i="13"/>
  <c r="T41" i="13"/>
  <c r="AC16" i="7"/>
  <c r="Q41" i="13"/>
  <c r="S41" i="13"/>
  <c r="AB16" i="7"/>
  <c r="T15" i="15"/>
  <c r="AF24" i="15"/>
  <c r="M31" i="14"/>
  <c r="AF13" i="15"/>
  <c r="M20" i="14"/>
  <c r="R98" i="13"/>
  <c r="T98" i="13"/>
  <c r="AC71" i="7"/>
  <c r="Q98" i="13"/>
  <c r="S98" i="13"/>
  <c r="AB71" i="7"/>
  <c r="T64" i="15"/>
  <c r="R33" i="13"/>
  <c r="T33" i="13"/>
  <c r="AC11" i="7"/>
  <c r="Q33" i="13"/>
  <c r="S33" i="13"/>
  <c r="AF74" i="14"/>
  <c r="AG74" i="14"/>
  <c r="X67" i="15"/>
  <c r="AK67" i="15"/>
  <c r="AU67" i="15"/>
  <c r="AZ67" i="15"/>
  <c r="AF34" i="14"/>
  <c r="AG34" i="14"/>
  <c r="X27" i="15"/>
  <c r="AK27" i="15"/>
  <c r="AU27" i="15"/>
  <c r="I91" i="7"/>
  <c r="AF14" i="14"/>
  <c r="AG14" i="14"/>
  <c r="X7" i="15"/>
  <c r="AK7" i="15"/>
  <c r="AU7" i="15"/>
  <c r="AZ7" i="15"/>
  <c r="AF70" i="14"/>
  <c r="AG70" i="14"/>
  <c r="X63" i="15"/>
  <c r="AK63" i="15"/>
  <c r="AU63" i="15"/>
  <c r="AZ63" i="15"/>
  <c r="G59" i="15"/>
  <c r="I66" i="7"/>
  <c r="H59" i="15"/>
  <c r="J66" i="7"/>
  <c r="I59" i="15"/>
  <c r="X59" i="15"/>
  <c r="AK59" i="15"/>
  <c r="AU59" i="15"/>
  <c r="AF16" i="14"/>
  <c r="AG16" i="14"/>
  <c r="X9" i="15"/>
  <c r="AK9" i="15"/>
  <c r="AU9" i="15"/>
  <c r="Y191" i="12"/>
  <c r="AA190" i="12"/>
  <c r="AB20" i="7"/>
  <c r="T19" i="15"/>
  <c r="L45" i="15"/>
  <c r="AH49" i="7"/>
  <c r="J67" i="7"/>
  <c r="I60" i="15"/>
  <c r="J19" i="7"/>
  <c r="I18" i="15"/>
  <c r="AB12" i="15"/>
  <c r="AI45" i="7"/>
  <c r="AF26" i="14"/>
  <c r="AG26" i="14"/>
  <c r="X19" i="15"/>
  <c r="AK19" i="15"/>
  <c r="AU19" i="15"/>
  <c r="AZ19" i="15"/>
  <c r="V16" i="15"/>
  <c r="AB16" i="15"/>
  <c r="AI17" i="7"/>
  <c r="V19" i="15"/>
  <c r="AB19" i="15"/>
  <c r="AI20" i="7"/>
  <c r="Y18" i="15"/>
  <c r="AH18" i="15"/>
  <c r="AO18" i="15"/>
  <c r="Z18" i="15"/>
  <c r="AI18" i="15"/>
  <c r="AQ18" i="15"/>
  <c r="AC35" i="14"/>
  <c r="AD35" i="14"/>
  <c r="AA28" i="15"/>
  <c r="AJ28" i="15"/>
  <c r="AS28" i="15"/>
  <c r="AC34" i="14"/>
  <c r="AD34" i="14"/>
  <c r="AA27" i="15"/>
  <c r="AJ27" i="15"/>
  <c r="AS27" i="15"/>
  <c r="AI31" i="14"/>
  <c r="AJ31" i="14"/>
  <c r="AG24" i="15"/>
  <c r="AL24" i="15"/>
  <c r="AW24" i="15"/>
  <c r="AI57" i="14"/>
  <c r="AJ57" i="14"/>
  <c r="AG50" i="15"/>
  <c r="AL50" i="15"/>
  <c r="AW50" i="15"/>
  <c r="Y56" i="15"/>
  <c r="AH56" i="15"/>
  <c r="AO56" i="15"/>
  <c r="Z56" i="15"/>
  <c r="AI56" i="15"/>
  <c r="AQ56" i="15"/>
  <c r="Y37" i="15"/>
  <c r="AH37" i="15"/>
  <c r="AO37" i="15"/>
  <c r="Z37" i="15"/>
  <c r="AI37" i="15"/>
  <c r="AQ37" i="15"/>
  <c r="AI39" i="14"/>
  <c r="AJ39" i="14"/>
  <c r="AG32" i="15"/>
  <c r="AL32" i="15"/>
  <c r="AW32" i="15"/>
  <c r="V53" i="15"/>
  <c r="AB53" i="15"/>
  <c r="AI60" i="7"/>
  <c r="AC46" i="14"/>
  <c r="AD46" i="14"/>
  <c r="AA39" i="15"/>
  <c r="AJ39" i="15"/>
  <c r="AS39" i="15"/>
  <c r="AY39" i="15"/>
  <c r="V57" i="15"/>
  <c r="AB57" i="15"/>
  <c r="AI64" i="7"/>
  <c r="R8" i="15"/>
  <c r="AK9" i="7"/>
  <c r="V6" i="15"/>
  <c r="AB6" i="15"/>
  <c r="AI7" i="7"/>
  <c r="V29" i="15"/>
  <c r="AB29" i="15"/>
  <c r="AI33" i="7"/>
  <c r="V11" i="15"/>
  <c r="AB11" i="15"/>
  <c r="AI12" i="7"/>
  <c r="AC33" i="14"/>
  <c r="AD33" i="14"/>
  <c r="AA26" i="15"/>
  <c r="AJ26" i="15"/>
  <c r="AS26" i="15"/>
  <c r="AY26" i="15"/>
  <c r="Z17" i="15"/>
  <c r="AI17" i="15"/>
  <c r="AQ17" i="15"/>
  <c r="Y17" i="15"/>
  <c r="AH17" i="15"/>
  <c r="AO17" i="15"/>
  <c r="V34" i="15"/>
  <c r="AB34" i="15"/>
  <c r="AI38" i="7"/>
  <c r="V14" i="15"/>
  <c r="AB14" i="15"/>
  <c r="AI15" i="7"/>
  <c r="V37" i="15"/>
  <c r="AB37" i="15"/>
  <c r="AI41" i="7"/>
  <c r="AI63" i="14"/>
  <c r="AJ63" i="14"/>
  <c r="AG56" i="15"/>
  <c r="AL56" i="15"/>
  <c r="AW56" i="15"/>
  <c r="Z6" i="12"/>
  <c r="AB5" i="12"/>
  <c r="AB6" i="12"/>
  <c r="Y21" i="15"/>
  <c r="AH21" i="15"/>
  <c r="AO21" i="15"/>
  <c r="Z21" i="15"/>
  <c r="AI21" i="15"/>
  <c r="AQ21" i="15"/>
  <c r="AI62" i="14"/>
  <c r="AJ62" i="14"/>
  <c r="AG55" i="15"/>
  <c r="AL55" i="15"/>
  <c r="AW55" i="15"/>
  <c r="V61" i="15"/>
  <c r="AB61" i="15"/>
  <c r="AI68" i="7"/>
  <c r="R57" i="15"/>
  <c r="AK64" i="7"/>
  <c r="N31" i="14"/>
  <c r="O31" i="14"/>
  <c r="W31" i="14"/>
  <c r="X31" i="14"/>
  <c r="Z31" i="14"/>
  <c r="AA31" i="14"/>
  <c r="AI69" i="14"/>
  <c r="AJ69" i="14"/>
  <c r="AG62" i="15"/>
  <c r="AL62" i="15"/>
  <c r="AW62" i="15"/>
  <c r="AC61" i="14"/>
  <c r="AD61" i="14"/>
  <c r="AA54" i="15"/>
  <c r="AJ54" i="15"/>
  <c r="AS54" i="15"/>
  <c r="AY54" i="15"/>
  <c r="AC49" i="14"/>
  <c r="AD49" i="14"/>
  <c r="AA42" i="15"/>
  <c r="AJ42" i="15"/>
  <c r="AS42" i="15"/>
  <c r="B19" i="3"/>
  <c r="G17" i="3"/>
  <c r="N25" i="14"/>
  <c r="O25" i="14"/>
  <c r="W25" i="14"/>
  <c r="X25" i="14"/>
  <c r="Z25" i="14"/>
  <c r="AA25" i="14"/>
  <c r="AC21" i="14"/>
  <c r="AD21" i="14"/>
  <c r="AA14" i="15"/>
  <c r="AJ14" i="15"/>
  <c r="AS14" i="15"/>
  <c r="AY14" i="15"/>
  <c r="V24" i="15"/>
  <c r="AB24" i="15"/>
  <c r="AI25" i="7"/>
  <c r="V50" i="15"/>
  <c r="AB50" i="15"/>
  <c r="AI57" i="7"/>
  <c r="AI24" i="14"/>
  <c r="AJ24" i="14"/>
  <c r="AG17" i="15"/>
  <c r="AL17" i="15"/>
  <c r="AW17" i="15"/>
  <c r="V32" i="15"/>
  <c r="AB32" i="15"/>
  <c r="AI36" i="7"/>
  <c r="AI60" i="14"/>
  <c r="AJ60" i="14"/>
  <c r="AG53" i="15"/>
  <c r="AL53" i="15"/>
  <c r="AW53" i="15"/>
  <c r="AI65" i="14"/>
  <c r="AJ65" i="14"/>
  <c r="AG58" i="15"/>
  <c r="AL58" i="15"/>
  <c r="AW58" i="15"/>
  <c r="AC45" i="14"/>
  <c r="AD45" i="14"/>
  <c r="AA38" i="15"/>
  <c r="AJ38" i="15"/>
  <c r="AS38" i="15"/>
  <c r="AY38" i="15"/>
  <c r="AF15" i="14"/>
  <c r="AG15" i="14"/>
  <c r="X8" i="15"/>
  <c r="AK8" i="15"/>
  <c r="AU8" i="15"/>
  <c r="AI33" i="14"/>
  <c r="AJ33" i="14"/>
  <c r="AG26" i="15"/>
  <c r="AL26" i="15"/>
  <c r="AW26" i="15"/>
  <c r="AI13" i="14"/>
  <c r="AJ13" i="14"/>
  <c r="AG6" i="15"/>
  <c r="AL6" i="15"/>
  <c r="AW6" i="15"/>
  <c r="W45" i="17"/>
  <c r="U45" i="17"/>
  <c r="R61" i="15"/>
  <c r="AK68" i="7"/>
  <c r="R29" i="15"/>
  <c r="AK33" i="7"/>
  <c r="N39" i="14"/>
  <c r="O39" i="14"/>
  <c r="Z39" i="14"/>
  <c r="AA39" i="14"/>
  <c r="W39" i="14"/>
  <c r="X39" i="14"/>
  <c r="R12" i="15"/>
  <c r="AK13" i="7"/>
  <c r="AI13" i="7"/>
  <c r="AC37" i="14"/>
  <c r="AD37" i="14"/>
  <c r="AA30" i="15"/>
  <c r="AJ30" i="15"/>
  <c r="AS30" i="15"/>
  <c r="AY30" i="15"/>
  <c r="AI21" i="14"/>
  <c r="AJ21" i="14"/>
  <c r="AG14" i="15"/>
  <c r="AL14" i="15"/>
  <c r="AW14" i="15"/>
  <c r="V56" i="15"/>
  <c r="AB56" i="15"/>
  <c r="AI63" i="7"/>
  <c r="Y61" i="15"/>
  <c r="AH61" i="15"/>
  <c r="AO61" i="15"/>
  <c r="Z61" i="15"/>
  <c r="AI61" i="15"/>
  <c r="AQ61" i="15"/>
  <c r="Z8" i="15"/>
  <c r="AI8" i="15"/>
  <c r="AQ8" i="15"/>
  <c r="Y8" i="15"/>
  <c r="AH8" i="15"/>
  <c r="AO8" i="15"/>
  <c r="V55" i="15"/>
  <c r="AB55" i="15"/>
  <c r="AI62" i="7"/>
  <c r="AC74" i="14"/>
  <c r="AD74" i="14"/>
  <c r="AA67" i="15"/>
  <c r="AJ67" i="15"/>
  <c r="AS67" i="15"/>
  <c r="AY67" i="15"/>
  <c r="R24" i="15"/>
  <c r="AK25" i="7"/>
  <c r="V62" i="15"/>
  <c r="AB62" i="15"/>
  <c r="AI69" i="7"/>
  <c r="AC25" i="14"/>
  <c r="AD25" i="14"/>
  <c r="AA18" i="15"/>
  <c r="AJ18" i="15"/>
  <c r="AS18" i="15"/>
  <c r="AY18" i="15"/>
  <c r="AC69" i="14"/>
  <c r="AD69" i="14"/>
  <c r="AA62" i="15"/>
  <c r="AJ62" i="15"/>
  <c r="AS62" i="15"/>
  <c r="AY62" i="15"/>
  <c r="Y60" i="15"/>
  <c r="AH60" i="15"/>
  <c r="AO60" i="15"/>
  <c r="Z60" i="15"/>
  <c r="AI60" i="15"/>
  <c r="AQ60" i="15"/>
  <c r="R45" i="15"/>
  <c r="AK49" i="7"/>
  <c r="AB66" i="7"/>
  <c r="T59" i="15"/>
  <c r="U91" i="13"/>
  <c r="AI50" i="14"/>
  <c r="AJ50" i="14"/>
  <c r="AG43" i="15"/>
  <c r="AL43" i="15"/>
  <c r="AW43" i="15"/>
  <c r="R20" i="15"/>
  <c r="AK21" i="7"/>
  <c r="Z27" i="15"/>
  <c r="AI27" i="15"/>
  <c r="AQ27" i="15"/>
  <c r="AZ27" i="15"/>
  <c r="Y27" i="15"/>
  <c r="AH27" i="15"/>
  <c r="AO27" i="15"/>
  <c r="Z31" i="15"/>
  <c r="AI31" i="15"/>
  <c r="AQ31" i="15"/>
  <c r="Y31" i="15"/>
  <c r="AH31" i="15"/>
  <c r="AO31" i="15"/>
  <c r="V17" i="15"/>
  <c r="AB17" i="15"/>
  <c r="AI18" i="7"/>
  <c r="W32" i="17"/>
  <c r="W60" i="15"/>
  <c r="V58" i="15"/>
  <c r="AB58" i="15"/>
  <c r="AI65" i="7"/>
  <c r="AC42" i="14"/>
  <c r="AD42" i="14"/>
  <c r="AA35" i="15"/>
  <c r="AJ35" i="15"/>
  <c r="AS35" i="15"/>
  <c r="AY35" i="15"/>
  <c r="R52" i="15"/>
  <c r="AK59" i="7"/>
  <c r="AI43" i="14"/>
  <c r="AJ43" i="14"/>
  <c r="AG36" i="15"/>
  <c r="AL36" i="15"/>
  <c r="AW36" i="15"/>
  <c r="R56" i="15"/>
  <c r="AK63" i="7"/>
  <c r="V26" i="15"/>
  <c r="AB26" i="15"/>
  <c r="AI27" i="7"/>
  <c r="V60" i="15"/>
  <c r="AB60" i="15"/>
  <c r="AI67" i="7"/>
  <c r="AC14" i="14"/>
  <c r="AD14" i="14"/>
  <c r="AA7" i="15"/>
  <c r="AJ7" i="15"/>
  <c r="AS7" i="15"/>
  <c r="AY7" i="15"/>
  <c r="AF68" i="14"/>
  <c r="AG68" i="14"/>
  <c r="X61" i="15"/>
  <c r="AK61" i="15"/>
  <c r="AU61" i="15"/>
  <c r="AZ61" i="15"/>
  <c r="AF36" i="14"/>
  <c r="AG36" i="14"/>
  <c r="X29" i="15"/>
  <c r="AK29" i="15"/>
  <c r="AU29" i="15"/>
  <c r="AZ29" i="15"/>
  <c r="R23" i="15"/>
  <c r="AK24" i="7"/>
  <c r="AF19" i="14"/>
  <c r="AG19" i="14"/>
  <c r="X12" i="15"/>
  <c r="AK12" i="15"/>
  <c r="AU12" i="15"/>
  <c r="AZ12" i="15"/>
  <c r="V68" i="15"/>
  <c r="AB68" i="15"/>
  <c r="AI75" i="7"/>
  <c r="Z9" i="15"/>
  <c r="AI9" i="15"/>
  <c r="AQ9" i="15"/>
  <c r="Y9" i="15"/>
  <c r="AH9" i="15"/>
  <c r="AO9" i="15"/>
  <c r="AC72" i="14"/>
  <c r="AD72" i="14"/>
  <c r="AA65" i="15"/>
  <c r="AJ65" i="15"/>
  <c r="AS65" i="15"/>
  <c r="AY65" i="15"/>
  <c r="AF31" i="14"/>
  <c r="AG31" i="14"/>
  <c r="X24" i="15"/>
  <c r="AK24" i="15"/>
  <c r="AU24" i="15"/>
  <c r="AZ24" i="15"/>
  <c r="R47" i="15"/>
  <c r="AK51" i="7"/>
  <c r="W37" i="17"/>
  <c r="X42" i="15"/>
  <c r="AK42" i="15"/>
  <c r="AU42" i="15"/>
  <c r="R17" i="15"/>
  <c r="AK18" i="7"/>
  <c r="AI34" i="14"/>
  <c r="AJ34" i="14"/>
  <c r="AG27" i="15"/>
  <c r="AL27" i="15"/>
  <c r="AW27" i="15"/>
  <c r="AC42" i="7"/>
  <c r="AB39" i="7"/>
  <c r="T35" i="15"/>
  <c r="AI26" i="14"/>
  <c r="AJ26" i="14"/>
  <c r="AG19" i="15"/>
  <c r="AL19" i="15"/>
  <c r="AW19" i="15"/>
  <c r="V64" i="15"/>
  <c r="AB64" i="15"/>
  <c r="AI71" i="7"/>
  <c r="Y59" i="15"/>
  <c r="AH59" i="15"/>
  <c r="AO59" i="15"/>
  <c r="Z59" i="15"/>
  <c r="AI59" i="15"/>
  <c r="AQ59" i="15"/>
  <c r="AZ59" i="15"/>
  <c r="N66" i="14"/>
  <c r="O66" i="14"/>
  <c r="W66" i="14"/>
  <c r="X66" i="14"/>
  <c r="Z66" i="14"/>
  <c r="AA66" i="14"/>
  <c r="AF52" i="14"/>
  <c r="AG52" i="14"/>
  <c r="X45" i="15"/>
  <c r="AK45" i="15"/>
  <c r="AU45" i="15"/>
  <c r="AZ45" i="15"/>
  <c r="V59" i="15"/>
  <c r="AB59" i="15"/>
  <c r="AI66" i="7"/>
  <c r="V43" i="15"/>
  <c r="AB43" i="15"/>
  <c r="AI47" i="7"/>
  <c r="AC40" i="14"/>
  <c r="AD40" i="14"/>
  <c r="AA33" i="15"/>
  <c r="AJ33" i="15"/>
  <c r="AS33" i="15"/>
  <c r="AY33" i="15"/>
  <c r="W18" i="15"/>
  <c r="AF27" i="14"/>
  <c r="AG27" i="14"/>
  <c r="X20" i="15"/>
  <c r="AK20" i="15"/>
  <c r="AU20" i="15"/>
  <c r="AZ20" i="15"/>
  <c r="R32" i="15"/>
  <c r="AK36" i="7"/>
  <c r="Y66" i="15"/>
  <c r="AH66" i="15"/>
  <c r="AO66" i="15"/>
  <c r="Z66" i="15"/>
  <c r="AI66" i="15"/>
  <c r="AQ66" i="15"/>
  <c r="AC32" i="14"/>
  <c r="AD32" i="14"/>
  <c r="AA25" i="15"/>
  <c r="AJ25" i="15"/>
  <c r="AS25" i="15"/>
  <c r="AY25" i="15"/>
  <c r="AC22" i="14"/>
  <c r="AD22" i="14"/>
  <c r="AA15" i="15"/>
  <c r="AJ15" i="15"/>
  <c r="AS15" i="15"/>
  <c r="AY15" i="15"/>
  <c r="AI27" i="14"/>
  <c r="AJ27" i="14"/>
  <c r="AG20" i="15"/>
  <c r="AL20" i="15"/>
  <c r="AW20" i="15"/>
  <c r="V36" i="15"/>
  <c r="AB36" i="15"/>
  <c r="AI40" i="7"/>
  <c r="AF63" i="14"/>
  <c r="AG63" i="14"/>
  <c r="X56" i="15"/>
  <c r="AK56" i="15"/>
  <c r="AU56" i="15"/>
  <c r="AZ56" i="15"/>
  <c r="R37" i="15"/>
  <c r="AK41" i="7"/>
  <c r="AI67" i="14"/>
  <c r="AJ67" i="14"/>
  <c r="AG60" i="15"/>
  <c r="AL60" i="15"/>
  <c r="AW60" i="15"/>
  <c r="N23" i="14"/>
  <c r="O23" i="14"/>
  <c r="Z23" i="14"/>
  <c r="AA23" i="14"/>
  <c r="W23" i="14"/>
  <c r="X23" i="14"/>
  <c r="N35" i="14"/>
  <c r="O35" i="14"/>
  <c r="W35" i="14"/>
  <c r="X35" i="14"/>
  <c r="Z35" i="14"/>
  <c r="AA35" i="14"/>
  <c r="AF30" i="14"/>
  <c r="AG30" i="14"/>
  <c r="X23" i="15"/>
  <c r="AK23" i="15"/>
  <c r="AU23" i="15"/>
  <c r="AZ23" i="15"/>
  <c r="R13" i="15"/>
  <c r="AK14" i="7"/>
  <c r="AF66" i="14"/>
  <c r="AG66" i="14"/>
  <c r="AI75" i="14"/>
  <c r="AJ75" i="14"/>
  <c r="AG68" i="15"/>
  <c r="AL68" i="15"/>
  <c r="AW68" i="15"/>
  <c r="AC26" i="14"/>
  <c r="AD26" i="14"/>
  <c r="AA19" i="15"/>
  <c r="AJ19" i="15"/>
  <c r="AS19" i="15"/>
  <c r="AY19" i="15"/>
  <c r="N41" i="14"/>
  <c r="O41" i="14"/>
  <c r="W41" i="14"/>
  <c r="X41" i="14"/>
  <c r="Z41" i="14"/>
  <c r="AA41" i="14"/>
  <c r="AF54" i="14"/>
  <c r="AG54" i="14"/>
  <c r="X47" i="15"/>
  <c r="AK47" i="15"/>
  <c r="AU47" i="15"/>
  <c r="AZ47" i="15"/>
  <c r="AC18" i="14"/>
  <c r="AD18" i="14"/>
  <c r="AA11" i="15"/>
  <c r="AJ11" i="15"/>
  <c r="AS11" i="15"/>
  <c r="AY11" i="15"/>
  <c r="V27" i="15"/>
  <c r="AB27" i="15"/>
  <c r="AI31" i="7"/>
  <c r="AB42" i="7"/>
  <c r="T38" i="15"/>
  <c r="U65" i="13"/>
  <c r="AC39" i="7"/>
  <c r="AC66" i="14"/>
  <c r="AD66" i="14"/>
  <c r="AA59" i="15"/>
  <c r="AJ59" i="15"/>
  <c r="AS59" i="15"/>
  <c r="AY59" i="15"/>
  <c r="R31" i="15"/>
  <c r="AK35" i="7"/>
  <c r="AF39" i="14"/>
  <c r="AG39" i="14"/>
  <c r="X32" i="15"/>
  <c r="AK32" i="15"/>
  <c r="AU32" i="15"/>
  <c r="AZ32" i="15"/>
  <c r="R46" i="15"/>
  <c r="AK50" i="7"/>
  <c r="AI58" i="14"/>
  <c r="AJ58" i="14"/>
  <c r="AG51" i="15"/>
  <c r="AL51" i="15"/>
  <c r="AW51" i="15"/>
  <c r="Y47" i="15"/>
  <c r="AH47" i="15"/>
  <c r="AO47" i="15"/>
  <c r="Z47" i="15"/>
  <c r="AI47" i="15"/>
  <c r="AQ47" i="15"/>
  <c r="V20" i="15"/>
  <c r="AB20" i="15"/>
  <c r="AI21" i="7"/>
  <c r="AC23" i="14"/>
  <c r="AD23" i="14"/>
  <c r="AA16" i="15"/>
  <c r="AJ16" i="15"/>
  <c r="AS16" i="15"/>
  <c r="AY16" i="15"/>
  <c r="R6" i="15"/>
  <c r="AK7" i="7"/>
  <c r="X18" i="15"/>
  <c r="AK18" i="15"/>
  <c r="AU18" i="15"/>
  <c r="AZ18" i="15"/>
  <c r="N63" i="14"/>
  <c r="O63" i="14"/>
  <c r="W63" i="14"/>
  <c r="X63" i="14"/>
  <c r="Z63" i="14"/>
  <c r="AA63" i="14"/>
  <c r="Y44" i="15"/>
  <c r="AH44" i="15"/>
  <c r="AO44" i="15"/>
  <c r="Z44" i="15"/>
  <c r="AI44" i="15"/>
  <c r="AQ44" i="15"/>
  <c r="AF44" i="14"/>
  <c r="AG44" i="14"/>
  <c r="X37" i="15"/>
  <c r="AK37" i="15"/>
  <c r="AU37" i="15"/>
  <c r="AZ37" i="15"/>
  <c r="AI73" i="14"/>
  <c r="AJ73" i="14"/>
  <c r="AG66" i="15"/>
  <c r="AL66" i="15"/>
  <c r="AW66" i="15"/>
  <c r="N71" i="14"/>
  <c r="O71" i="14"/>
  <c r="W71" i="14"/>
  <c r="X71" i="14"/>
  <c r="Z71" i="14"/>
  <c r="AA71" i="14"/>
  <c r="AF20" i="14"/>
  <c r="AG20" i="14"/>
  <c r="X13" i="15"/>
  <c r="AK13" i="15"/>
  <c r="AU13" i="15"/>
  <c r="AZ13" i="15"/>
  <c r="AI54" i="14"/>
  <c r="AJ54" i="14"/>
  <c r="AG47" i="15"/>
  <c r="AL47" i="15"/>
  <c r="AW47" i="15"/>
  <c r="AI61" i="14"/>
  <c r="AJ61" i="14"/>
  <c r="AG54" i="15"/>
  <c r="AL54" i="15"/>
  <c r="AW54" i="15"/>
  <c r="AI59" i="14"/>
  <c r="AJ59" i="14"/>
  <c r="AG52" i="15"/>
  <c r="AL52" i="15"/>
  <c r="AW52" i="15"/>
  <c r="N24" i="14"/>
  <c r="O24" i="14"/>
  <c r="Z24" i="14"/>
  <c r="AA24" i="14"/>
  <c r="W24" i="14"/>
  <c r="X24" i="14"/>
  <c r="AI49" i="14"/>
  <c r="AJ49" i="14"/>
  <c r="AG42" i="15"/>
  <c r="AL42" i="15"/>
  <c r="AW42" i="15"/>
  <c r="V21" i="15"/>
  <c r="AB21" i="15"/>
  <c r="AI22" i="7"/>
  <c r="AI15" i="14"/>
  <c r="AJ15" i="14"/>
  <c r="AG8" i="15"/>
  <c r="AL8" i="15"/>
  <c r="AW8" i="15"/>
  <c r="Z40" i="15"/>
  <c r="AI40" i="15"/>
  <c r="AQ40" i="15"/>
  <c r="Y40" i="15"/>
  <c r="AH40" i="15"/>
  <c r="AO40" i="15"/>
  <c r="AI56" i="14"/>
  <c r="AJ56" i="14"/>
  <c r="AG49" i="15"/>
  <c r="AL49" i="15"/>
  <c r="AW49" i="15"/>
  <c r="R44" i="15"/>
  <c r="AK48" i="7"/>
  <c r="V30" i="15"/>
  <c r="AB30" i="15"/>
  <c r="AI34" i="7"/>
  <c r="X66" i="15"/>
  <c r="AK66" i="15"/>
  <c r="AU66" i="15"/>
  <c r="AZ66" i="15"/>
  <c r="N47" i="14"/>
  <c r="O47" i="14"/>
  <c r="W47" i="14"/>
  <c r="X47" i="14"/>
  <c r="Z47" i="14"/>
  <c r="AA47" i="14"/>
  <c r="U33" i="13"/>
  <c r="AB11" i="7"/>
  <c r="T10" i="15"/>
  <c r="AI22" i="14"/>
  <c r="AJ22" i="14"/>
  <c r="AG15" i="15"/>
  <c r="AL15" i="15"/>
  <c r="AW15" i="15"/>
  <c r="AI30" i="14"/>
  <c r="AJ30" i="14"/>
  <c r="AG23" i="15"/>
  <c r="AL23" i="15"/>
  <c r="AW23" i="15"/>
  <c r="AF38" i="14"/>
  <c r="AG38" i="14"/>
  <c r="X31" i="15"/>
  <c r="AK31" i="15"/>
  <c r="AU31" i="15"/>
  <c r="AC58" i="14"/>
  <c r="AD58" i="14"/>
  <c r="AA51" i="15"/>
  <c r="AJ51" i="15"/>
  <c r="AS51" i="15"/>
  <c r="AY51" i="15"/>
  <c r="AC70" i="14"/>
  <c r="AD70" i="14"/>
  <c r="AA63" i="15"/>
  <c r="AJ63" i="15"/>
  <c r="AS63" i="15"/>
  <c r="AY63" i="15"/>
  <c r="R21" i="15"/>
  <c r="AK22" i="7"/>
  <c r="AF53" i="14"/>
  <c r="AG53" i="14"/>
  <c r="X46" i="15"/>
  <c r="AK46" i="15"/>
  <c r="AU46" i="15"/>
  <c r="AZ46" i="15"/>
  <c r="V51" i="15"/>
  <c r="AB51" i="15"/>
  <c r="AI58" i="7"/>
  <c r="AC43" i="14"/>
  <c r="AD43" i="14"/>
  <c r="AA36" i="15"/>
  <c r="AJ36" i="15"/>
  <c r="AS36" i="15"/>
  <c r="AY36" i="15"/>
  <c r="W37" i="15"/>
  <c r="AI74" i="14"/>
  <c r="AJ74" i="14"/>
  <c r="AG67" i="15"/>
  <c r="AL67" i="15"/>
  <c r="AW67" i="15"/>
  <c r="R64" i="15"/>
  <c r="AK71" i="7"/>
  <c r="AF13" i="14"/>
  <c r="AG13" i="14"/>
  <c r="X6" i="15"/>
  <c r="AK6" i="15"/>
  <c r="AU6" i="15"/>
  <c r="AZ6" i="15"/>
  <c r="AF25" i="14"/>
  <c r="AG25" i="14"/>
  <c r="Y28" i="15"/>
  <c r="AH28" i="15"/>
  <c r="AO28" i="15"/>
  <c r="Z28" i="15"/>
  <c r="AI28" i="15"/>
  <c r="AQ28" i="15"/>
  <c r="AZ28" i="15"/>
  <c r="AI47" i="14"/>
  <c r="AJ47" i="14"/>
  <c r="AG40" i="15"/>
  <c r="AL40" i="15"/>
  <c r="AW40" i="15"/>
  <c r="W59" i="15"/>
  <c r="V66" i="15"/>
  <c r="AB66" i="15"/>
  <c r="AI73" i="7"/>
  <c r="AC73" i="14"/>
  <c r="AD73" i="14"/>
  <c r="AA66" i="15"/>
  <c r="AJ66" i="15"/>
  <c r="AS66" i="15"/>
  <c r="AY66" i="15"/>
  <c r="N51" i="14"/>
  <c r="O51" i="14"/>
  <c r="W51" i="14"/>
  <c r="X51" i="14"/>
  <c r="Z51" i="14"/>
  <c r="AA51" i="14"/>
  <c r="V47" i="15"/>
  <c r="AB47" i="15"/>
  <c r="AI51" i="7"/>
  <c r="V54" i="15"/>
  <c r="AB54" i="15"/>
  <c r="AI61" i="7"/>
  <c r="R60" i="15"/>
  <c r="AK67" i="7"/>
  <c r="AC41" i="14"/>
  <c r="AD41" i="14"/>
  <c r="AA34" i="15"/>
  <c r="AJ34" i="15"/>
  <c r="AS34" i="15"/>
  <c r="AY34" i="15"/>
  <c r="V52" i="15"/>
  <c r="AB52" i="15"/>
  <c r="AI59" i="7"/>
  <c r="W17" i="15"/>
  <c r="V42" i="15"/>
  <c r="AB42" i="15"/>
  <c r="AI46" i="7"/>
  <c r="AI28" i="14"/>
  <c r="AJ28" i="14"/>
  <c r="AG21" i="15"/>
  <c r="AL21" i="15"/>
  <c r="AW21" i="15"/>
  <c r="AC65" i="14"/>
  <c r="AD65" i="14"/>
  <c r="AA58" i="15"/>
  <c r="AJ58" i="15"/>
  <c r="AS58" i="15"/>
  <c r="AY58" i="15"/>
  <c r="V8" i="15"/>
  <c r="AB8" i="15"/>
  <c r="AI9" i="7"/>
  <c r="N68" i="14"/>
  <c r="O68" i="14"/>
  <c r="W68" i="14"/>
  <c r="X68" i="14"/>
  <c r="Z68" i="14"/>
  <c r="AA68" i="14"/>
  <c r="N15" i="14"/>
  <c r="O15" i="14"/>
  <c r="Z15" i="14"/>
  <c r="AA15" i="14"/>
  <c r="W15" i="14"/>
  <c r="X15" i="14"/>
  <c r="V49" i="15"/>
  <c r="AB49" i="15"/>
  <c r="AI56" i="7"/>
  <c r="AF51" i="14"/>
  <c r="AG51" i="14"/>
  <c r="X44" i="15"/>
  <c r="AK44" i="15"/>
  <c r="AU44" i="15"/>
  <c r="AI37" i="14"/>
  <c r="AJ37" i="14"/>
  <c r="AG30" i="15"/>
  <c r="AL30" i="15"/>
  <c r="AW30" i="15"/>
  <c r="AC57" i="14"/>
  <c r="AD57" i="14"/>
  <c r="AA50" i="15"/>
  <c r="AJ50" i="15"/>
  <c r="AS50" i="15"/>
  <c r="AY50" i="15"/>
  <c r="X17" i="15"/>
  <c r="AK17" i="15"/>
  <c r="AU17" i="15"/>
  <c r="I92" i="7"/>
  <c r="V10" i="15"/>
  <c r="AB10" i="15"/>
  <c r="AI11" i="7"/>
  <c r="V23" i="15"/>
  <c r="AB23" i="15"/>
  <c r="AI24" i="7"/>
  <c r="AI51" i="14"/>
  <c r="AJ51" i="14"/>
  <c r="AG44" i="15"/>
  <c r="AL44" i="15"/>
  <c r="AW44" i="15"/>
  <c r="AF28" i="14"/>
  <c r="AG28" i="14"/>
  <c r="X21" i="15"/>
  <c r="AK21" i="15"/>
  <c r="AU21" i="15"/>
  <c r="AZ21" i="15"/>
  <c r="AI38" i="14"/>
  <c r="AJ38" i="14"/>
  <c r="AG31" i="15"/>
  <c r="AL31" i="15"/>
  <c r="AW31" i="15"/>
  <c r="AI20" i="14"/>
  <c r="AJ20" i="14"/>
  <c r="AG13" i="15"/>
  <c r="AL13" i="15"/>
  <c r="AW13" i="15"/>
  <c r="R40" i="15"/>
  <c r="AK44" i="7"/>
  <c r="Z42" i="15"/>
  <c r="AI42" i="15"/>
  <c r="AQ42" i="15"/>
  <c r="Y42" i="15"/>
  <c r="AH42" i="15"/>
  <c r="AO42" i="15"/>
  <c r="I90" i="7"/>
  <c r="N34" i="14"/>
  <c r="O34" i="14"/>
  <c r="Z34" i="14"/>
  <c r="AA34" i="14"/>
  <c r="W34" i="14"/>
  <c r="X34" i="14"/>
  <c r="AI46" i="14"/>
  <c r="AJ46" i="14"/>
  <c r="AG39" i="15"/>
  <c r="AL39" i="15"/>
  <c r="AW39" i="15"/>
  <c r="V67" i="15"/>
  <c r="AB67" i="15"/>
  <c r="AI74" i="7"/>
  <c r="AF71" i="14"/>
  <c r="AG71" i="14"/>
  <c r="X64" i="15"/>
  <c r="AK64" i="15"/>
  <c r="AU64" i="15"/>
  <c r="Z16" i="15"/>
  <c r="AI16" i="15"/>
  <c r="AQ16" i="15"/>
  <c r="AZ16" i="15"/>
  <c r="Y16" i="15"/>
  <c r="AH16" i="15"/>
  <c r="AO16" i="15"/>
  <c r="N49" i="14"/>
  <c r="O49" i="14"/>
  <c r="W49" i="14"/>
  <c r="X49" i="14"/>
  <c r="Z49" i="14"/>
  <c r="AA49" i="14"/>
  <c r="C19" i="3"/>
  <c r="H17" i="3"/>
  <c r="V40" i="15"/>
  <c r="AB40" i="15"/>
  <c r="AI44" i="7"/>
  <c r="AI53" i="14"/>
  <c r="AJ53" i="14"/>
  <c r="AG46" i="15"/>
  <c r="AL46" i="15"/>
  <c r="AW46" i="15"/>
  <c r="W47" i="15"/>
  <c r="W35" i="17"/>
  <c r="AF67" i="14"/>
  <c r="AG67" i="14"/>
  <c r="X60" i="15"/>
  <c r="AK60" i="15"/>
  <c r="AU60" i="15"/>
  <c r="AZ60" i="15"/>
  <c r="U44" i="13"/>
  <c r="AB19" i="7"/>
  <c r="T18" i="15"/>
  <c r="AZ52" i="15"/>
  <c r="W44" i="15"/>
  <c r="AI14" i="14"/>
  <c r="AJ14" i="14"/>
  <c r="AG7" i="15"/>
  <c r="AL7" i="15"/>
  <c r="AW7" i="15"/>
  <c r="AI52" i="14"/>
  <c r="AJ52" i="14"/>
  <c r="AG45" i="15"/>
  <c r="AL45" i="15"/>
  <c r="AW45" i="15"/>
  <c r="AI35" i="14"/>
  <c r="AJ35" i="14"/>
  <c r="AG28" i="15"/>
  <c r="AL28" i="15"/>
  <c r="AW28" i="15"/>
  <c r="W21" i="15"/>
  <c r="AF24" i="14"/>
  <c r="AG24" i="14"/>
  <c r="V15" i="15"/>
  <c r="AB15" i="15"/>
  <c r="AI16" i="7"/>
  <c r="AZ9" i="15"/>
  <c r="AI71" i="14"/>
  <c r="AJ71" i="14"/>
  <c r="AG64" i="15"/>
  <c r="AL64" i="15"/>
  <c r="AW64" i="15"/>
  <c r="W29" i="17"/>
  <c r="U29" i="17"/>
  <c r="V44" i="15"/>
  <c r="AB44" i="15"/>
  <c r="AI48" i="7"/>
  <c r="AC48" i="14"/>
  <c r="AD48" i="14"/>
  <c r="AA41" i="15"/>
  <c r="AJ41" i="15"/>
  <c r="AS41" i="15"/>
  <c r="AY41" i="15"/>
  <c r="AC75" i="14"/>
  <c r="AD75" i="14"/>
  <c r="AA68" i="15"/>
  <c r="AJ68" i="15"/>
  <c r="AS68" i="15"/>
  <c r="AY68" i="15"/>
  <c r="V31" i="15"/>
  <c r="AB31" i="15"/>
  <c r="AI35" i="7"/>
  <c r="V13" i="15"/>
  <c r="AB13" i="15"/>
  <c r="AI14" i="7"/>
  <c r="AF47" i="14"/>
  <c r="AG47" i="14"/>
  <c r="X40" i="15"/>
  <c r="AK40" i="15"/>
  <c r="AU40" i="15"/>
  <c r="AZ40" i="15"/>
  <c r="N44" i="14"/>
  <c r="O44" i="14"/>
  <c r="W44" i="14"/>
  <c r="X44" i="14"/>
  <c r="Z44" i="14"/>
  <c r="AA44" i="14"/>
  <c r="N73" i="14"/>
  <c r="O73" i="14"/>
  <c r="Z73" i="14"/>
  <c r="AA73" i="14"/>
  <c r="W73" i="14"/>
  <c r="X73" i="14"/>
  <c r="V39" i="15"/>
  <c r="AB39" i="15"/>
  <c r="AI43" i="7"/>
  <c r="AI64" i="14"/>
  <c r="AJ64" i="14"/>
  <c r="AG57" i="15"/>
  <c r="AL57" i="15"/>
  <c r="AW57" i="15"/>
  <c r="AC60" i="14"/>
  <c r="AD60" i="14"/>
  <c r="AA53" i="15"/>
  <c r="AJ53" i="15"/>
  <c r="AS53" i="15"/>
  <c r="AY53" i="15"/>
  <c r="N38" i="14"/>
  <c r="O38" i="14"/>
  <c r="Z38" i="14"/>
  <c r="AA38" i="14"/>
  <c r="W38" i="14"/>
  <c r="X38" i="14"/>
  <c r="Y64" i="15"/>
  <c r="AH64" i="15"/>
  <c r="AO64" i="15"/>
  <c r="Z64" i="15"/>
  <c r="AI64" i="15"/>
  <c r="AQ64" i="15"/>
  <c r="N54" i="14"/>
  <c r="O54" i="14"/>
  <c r="W54" i="14"/>
  <c r="X54" i="14"/>
  <c r="Z54" i="14"/>
  <c r="AA54" i="14"/>
  <c r="W33" i="17"/>
  <c r="U33" i="17"/>
  <c r="V46" i="15"/>
  <c r="AB46" i="15"/>
  <c r="AI50" i="7"/>
  <c r="AI36" i="14"/>
  <c r="AJ36" i="14"/>
  <c r="AG29" i="15"/>
  <c r="AL29" i="15"/>
  <c r="AW29" i="15"/>
  <c r="AI18" i="14"/>
  <c r="AJ18" i="14"/>
  <c r="AG11" i="15"/>
  <c r="AL11" i="15"/>
  <c r="AW11" i="15"/>
  <c r="R55" i="15"/>
  <c r="AK62" i="7"/>
  <c r="N13" i="14"/>
  <c r="O13" i="14"/>
  <c r="W13" i="14"/>
  <c r="X13" i="14"/>
  <c r="Z13" i="14"/>
  <c r="AA13" i="14"/>
  <c r="AI41" i="14"/>
  <c r="AJ41" i="14"/>
  <c r="AG34" i="15"/>
  <c r="AL34" i="15"/>
  <c r="AW34" i="15"/>
  <c r="AB41" i="7"/>
  <c r="T37" i="15"/>
  <c r="U63" i="13"/>
  <c r="AC19" i="7"/>
  <c r="AB68" i="7"/>
  <c r="T61" i="15"/>
  <c r="U94" i="13"/>
  <c r="AC56" i="14"/>
  <c r="AD56" i="14"/>
  <c r="AA49" i="15"/>
  <c r="AJ49" i="15"/>
  <c r="AS49" i="15"/>
  <c r="AY49" i="15"/>
  <c r="AB17" i="7"/>
  <c r="T16" i="15"/>
  <c r="V7" i="15"/>
  <c r="AB7" i="15"/>
  <c r="AI8" i="7"/>
  <c r="AC17" i="14"/>
  <c r="AD17" i="14"/>
  <c r="AA10" i="15"/>
  <c r="AJ10" i="15"/>
  <c r="AS10" i="15"/>
  <c r="AY10" i="15"/>
  <c r="V45" i="15"/>
  <c r="AB45" i="15"/>
  <c r="AI49" i="7"/>
  <c r="V28" i="15"/>
  <c r="AB28" i="15"/>
  <c r="AI32" i="7"/>
  <c r="AC55" i="14"/>
  <c r="AD55" i="14"/>
  <c r="AA48" i="15"/>
  <c r="AJ48" i="15"/>
  <c r="AS48" i="15"/>
  <c r="AY48" i="15"/>
  <c r="W38" i="17"/>
  <c r="AC16" i="14"/>
  <c r="AD16" i="14"/>
  <c r="AA9" i="15"/>
  <c r="AJ9" i="15"/>
  <c r="AS9" i="15"/>
  <c r="AY9" i="15"/>
  <c r="AZ64" i="15"/>
  <c r="AZ44" i="15"/>
  <c r="AC67" i="14"/>
  <c r="AD67" i="14"/>
  <c r="AA60" i="15"/>
  <c r="AJ60" i="15"/>
  <c r="AS60" i="15"/>
  <c r="AY60" i="15"/>
  <c r="AC28" i="14"/>
  <c r="AD28" i="14"/>
  <c r="AA21" i="15"/>
  <c r="AJ21" i="15"/>
  <c r="AS21" i="15"/>
  <c r="AY21" i="15"/>
  <c r="AC13" i="14"/>
  <c r="AD13" i="14"/>
  <c r="AA6" i="15"/>
  <c r="AJ6" i="15"/>
  <c r="AS6" i="15"/>
  <c r="AY6" i="15"/>
  <c r="AZ42" i="15"/>
  <c r="AI68" i="14"/>
  <c r="AJ68" i="14"/>
  <c r="AG61" i="15"/>
  <c r="AL61" i="15"/>
  <c r="AW61" i="15"/>
  <c r="H18" i="3"/>
  <c r="C20" i="3"/>
  <c r="AC53" i="14"/>
  <c r="AD53" i="14"/>
  <c r="AA46" i="15"/>
  <c r="AJ46" i="15"/>
  <c r="AS46" i="15"/>
  <c r="AY46" i="15"/>
  <c r="AI42" i="14"/>
  <c r="AJ42" i="14"/>
  <c r="AG35" i="15"/>
  <c r="AL35" i="15"/>
  <c r="AW35" i="15"/>
  <c r="V18" i="15"/>
  <c r="AB18" i="15"/>
  <c r="AI19" i="7"/>
  <c r="AZ17" i="15"/>
  <c r="AI17" i="14"/>
  <c r="AJ17" i="14"/>
  <c r="AG10" i="15"/>
  <c r="AL10" i="15"/>
  <c r="AW10" i="15"/>
  <c r="AI45" i="14"/>
  <c r="AJ45" i="14"/>
  <c r="AG38" i="15"/>
  <c r="AL38" i="15"/>
  <c r="AW38" i="15"/>
  <c r="AC20" i="14"/>
  <c r="AD20" i="14"/>
  <c r="AA13" i="15"/>
  <c r="AJ13" i="15"/>
  <c r="AS13" i="15"/>
  <c r="AY13" i="15"/>
  <c r="V38" i="15"/>
  <c r="AB38" i="15"/>
  <c r="AI42" i="7"/>
  <c r="AC54" i="14"/>
  <c r="AD54" i="14"/>
  <c r="AA47" i="15"/>
  <c r="AJ47" i="15"/>
  <c r="AS47" i="15"/>
  <c r="AY47" i="15"/>
  <c r="AC63" i="14"/>
  <c r="AD63" i="14"/>
  <c r="AA56" i="15"/>
  <c r="AJ56" i="15"/>
  <c r="AS56" i="15"/>
  <c r="AY56" i="15"/>
  <c r="AC52" i="14"/>
  <c r="AD52" i="14"/>
  <c r="AA45" i="15"/>
  <c r="AJ45" i="15"/>
  <c r="AS45" i="15"/>
  <c r="AY45" i="15"/>
  <c r="AC36" i="14"/>
  <c r="AD36" i="14"/>
  <c r="AA29" i="15"/>
  <c r="AJ29" i="15"/>
  <c r="AS29" i="15"/>
  <c r="AY29" i="15"/>
  <c r="G18" i="3"/>
  <c r="B20" i="3"/>
  <c r="AC15" i="14"/>
  <c r="AD15" i="14"/>
  <c r="AA8" i="15"/>
  <c r="AJ8" i="15"/>
  <c r="AS8" i="15"/>
  <c r="AY8" i="15"/>
  <c r="AC62" i="14"/>
  <c r="AD62" i="14"/>
  <c r="AA55" i="15"/>
  <c r="AJ55" i="15"/>
  <c r="AS55" i="15"/>
  <c r="AY55" i="15"/>
  <c r="AC51" i="14"/>
  <c r="AD51" i="14"/>
  <c r="AA44" i="15"/>
  <c r="AJ44" i="15"/>
  <c r="AS44" i="15"/>
  <c r="AY44" i="15"/>
  <c r="AZ8" i="15"/>
  <c r="AY42" i="15"/>
  <c r="AY27" i="15"/>
  <c r="AI44" i="14"/>
  <c r="AJ44" i="14"/>
  <c r="AG37" i="15"/>
  <c r="AL37" i="15"/>
  <c r="AW37" i="15"/>
  <c r="AC47" i="14"/>
  <c r="AD47" i="14"/>
  <c r="AA40" i="15"/>
  <c r="AJ40" i="15"/>
  <c r="AS40" i="15"/>
  <c r="AY40" i="15"/>
  <c r="AC71" i="14"/>
  <c r="AD71" i="14"/>
  <c r="AA64" i="15"/>
  <c r="AJ64" i="15"/>
  <c r="AS64" i="15"/>
  <c r="AY64" i="15"/>
  <c r="AZ31" i="15"/>
  <c r="AC39" i="14"/>
  <c r="AD39" i="14"/>
  <c r="AA32" i="15"/>
  <c r="AJ32" i="15"/>
  <c r="AS32" i="15"/>
  <c r="AY32" i="15"/>
  <c r="AC27" i="14"/>
  <c r="AD27" i="14"/>
  <c r="AA20" i="15"/>
  <c r="AJ20" i="15"/>
  <c r="AS20" i="15"/>
  <c r="AY20" i="15"/>
  <c r="AC31" i="14"/>
  <c r="AD31" i="14"/>
  <c r="AA24" i="15"/>
  <c r="AJ24" i="15"/>
  <c r="AS24" i="15"/>
  <c r="AY24" i="15"/>
  <c r="AC68" i="14"/>
  <c r="AD68" i="14"/>
  <c r="AA61" i="15"/>
  <c r="AJ61" i="15"/>
  <c r="AS61" i="15"/>
  <c r="AY61" i="15"/>
  <c r="V35" i="15"/>
  <c r="AB35" i="15"/>
  <c r="AI39" i="7"/>
  <c r="AI66" i="14"/>
  <c r="AJ66" i="14"/>
  <c r="AG59" i="15"/>
  <c r="AL59" i="15"/>
  <c r="AW59" i="15"/>
  <c r="AI23" i="14"/>
  <c r="AJ23" i="14"/>
  <c r="AG16" i="15"/>
  <c r="AL16" i="15"/>
  <c r="AW16" i="15"/>
  <c r="AI25" i="14"/>
  <c r="AJ25" i="14"/>
  <c r="AG18" i="15"/>
  <c r="AL18" i="15"/>
  <c r="AW18" i="15"/>
  <c r="AC38" i="14"/>
  <c r="AD38" i="14"/>
  <c r="AA31" i="15"/>
  <c r="AJ31" i="15"/>
  <c r="AS31" i="15"/>
  <c r="AY31" i="15"/>
  <c r="AC19" i="14"/>
  <c r="AD19" i="14"/>
  <c r="AA12" i="15"/>
  <c r="AJ12" i="15"/>
  <c r="AS12" i="15"/>
  <c r="AY12" i="15"/>
  <c r="AY28" i="15"/>
  <c r="AC44" i="14"/>
  <c r="AD44" i="14"/>
  <c r="AA37" i="15"/>
  <c r="AJ37" i="15"/>
  <c r="AS37" i="15"/>
  <c r="AY37" i="15"/>
  <c r="AC24" i="14"/>
  <c r="AD24" i="14"/>
  <c r="AA17" i="15"/>
  <c r="AJ17" i="15"/>
  <c r="AS17" i="15"/>
  <c r="AY17" i="15"/>
  <c r="AC30" i="14"/>
  <c r="AD30" i="14"/>
  <c r="AA23" i="15"/>
  <c r="AJ23" i="15"/>
  <c r="AS23" i="15"/>
  <c r="AY23" i="15"/>
  <c r="AC59" i="14"/>
  <c r="AD59" i="14"/>
  <c r="AA52" i="15"/>
  <c r="AJ52" i="15"/>
  <c r="AS52" i="15"/>
  <c r="AY52" i="15"/>
  <c r="AC64" i="14"/>
  <c r="AD64" i="14"/>
  <c r="AA57" i="15"/>
  <c r="AJ57" i="15"/>
  <c r="AS57" i="15"/>
  <c r="AY57" i="15"/>
  <c r="B21" i="3"/>
  <c r="G19" i="3"/>
  <c r="C21" i="3"/>
  <c r="H19" i="3"/>
  <c r="H20" i="3"/>
  <c r="C22" i="3"/>
  <c r="B22" i="3"/>
  <c r="G20" i="3"/>
  <c r="G21" i="3"/>
  <c r="B23" i="3"/>
  <c r="C23" i="3"/>
  <c r="H21" i="3"/>
  <c r="H22" i="3"/>
  <c r="C24" i="3"/>
  <c r="G22" i="3"/>
  <c r="B24" i="3"/>
  <c r="B25" i="3"/>
  <c r="G23" i="3"/>
  <c r="C25" i="3"/>
  <c r="H23" i="3"/>
  <c r="H24" i="3"/>
  <c r="C26" i="3"/>
  <c r="B26" i="3"/>
  <c r="G24" i="3"/>
  <c r="G25" i="3"/>
  <c r="B27" i="3"/>
  <c r="C27" i="3"/>
  <c r="H25" i="3"/>
  <c r="G26" i="3"/>
  <c r="B28" i="3"/>
  <c r="H26" i="3"/>
  <c r="C28" i="3"/>
  <c r="C29" i="3"/>
  <c r="H27" i="3"/>
  <c r="B29" i="3"/>
  <c r="G27" i="3"/>
  <c r="B30" i="3"/>
  <c r="G28" i="3"/>
  <c r="H28" i="3"/>
  <c r="C30" i="3"/>
  <c r="C31" i="3"/>
  <c r="H29" i="3"/>
  <c r="B31" i="3"/>
  <c r="G29" i="3"/>
  <c r="B32" i="3"/>
  <c r="G30" i="3"/>
  <c r="H30" i="3"/>
  <c r="C32" i="3"/>
  <c r="C33" i="3"/>
  <c r="H31" i="3"/>
  <c r="G31" i="3"/>
  <c r="B33" i="3"/>
  <c r="B34" i="3"/>
  <c r="G32" i="3"/>
  <c r="H32" i="3"/>
  <c r="C34" i="3"/>
  <c r="C35" i="3"/>
  <c r="H33" i="3"/>
  <c r="B35" i="3"/>
  <c r="G33" i="3"/>
  <c r="B36" i="3"/>
  <c r="C37" i="3"/>
  <c r="G34" i="3"/>
  <c r="H34" i="3"/>
  <c r="B39" i="3"/>
  <c r="G3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Davies, Di (CMAR, Hobart)</author>
  </authors>
  <commentList>
    <comment ref="D3" authorId="0" shapeId="0" xr:uid="{00000000-0006-0000-0800-000001000000}">
      <text>
        <r>
          <rPr>
            <b/>
            <sz val="8"/>
            <color indexed="81"/>
            <rFont val="Tahoma"/>
            <family val="2"/>
          </rPr>
          <t>Davies, Di (CMAR, Hobart):</t>
        </r>
        <r>
          <rPr>
            <sz val="8"/>
            <color indexed="81"/>
            <rFont val="Tahoma"/>
            <family val="2"/>
          </rPr>
          <t xml:space="preserve">
Measured on Mettler balance only accurate to 0.01 mg. Formatted as ug to make consistent with rest of data</t>
        </r>
      </text>
    </comment>
  </commentList>
</comments>
</file>

<file path=xl/sharedStrings.xml><?xml version="1.0" encoding="utf-8"?>
<sst xmlns="http://schemas.openxmlformats.org/spreadsheetml/2006/main" count="5203" uniqueCount="2397">
  <si>
    <t>brine pH before loading the cups</t>
  </si>
  <si>
    <t>The volume of the McLane Parflux mark78 21 cup is 250mL but I need to check when filled to shoulder=</t>
  </si>
  <si>
    <t>sodium chloride, NaCl</t>
  </si>
  <si>
    <t>sodium tetraborate,Na2B4O7.10H2O in addition to sw</t>
  </si>
  <si>
    <t>increased as per later notes</t>
  </si>
  <si>
    <t>strontium chloride,  SrCl2.6H2O 10x sw</t>
  </si>
  <si>
    <t>mercury chloride,  HgCl2</t>
  </si>
  <si>
    <t>silicate, none due to slow kinetics, low in 47S water</t>
  </si>
  <si>
    <t>none, discussed with Tom</t>
  </si>
  <si>
    <t xml:space="preserve">One cup contains 250mL which would require g.  </t>
  </si>
  <si>
    <t>close to 10mL saturated HgCL2 7.3g/100mL</t>
  </si>
  <si>
    <t>saturated mercuric chloride volume (mL) required=</t>
  </si>
  <si>
    <t>g</t>
  </si>
  <si>
    <t>Brine volume (L) required for 3 traps for SAZ19=</t>
  </si>
  <si>
    <t>company, PN</t>
  </si>
  <si>
    <t>Sigma Aldrich Lot. No. 03216TR</t>
  </si>
  <si>
    <t>Di's additions:  there is a general preference to fill the cups with brine, remove 10mL by pipette and replace with 10mL of saturated mercuric chloride. This was trialed during SAZ18 prep and worked well.</t>
  </si>
  <si>
    <t>Sample ID</t>
  </si>
  <si>
    <t>NOx (uM)</t>
  </si>
  <si>
    <t>Phosphate (uM)</t>
  </si>
  <si>
    <t>Silicate (uM)</t>
  </si>
  <si>
    <t>Ammonia (uM)</t>
  </si>
  <si>
    <t>Nitrite (uM)</t>
  </si>
  <si>
    <t>depth</t>
  </si>
  <si>
    <t>trap</t>
  </si>
  <si>
    <t>no tilt</t>
  </si>
  <si>
    <t>deployment</t>
  </si>
  <si>
    <t>event</t>
  </si>
  <si>
    <t>date, UTC</t>
  </si>
  <si>
    <t>interval</t>
  </si>
  <si>
    <t>47S</t>
  </si>
  <si>
    <t>McLane 21 cup</t>
  </si>
  <si>
    <t>McLane/US date format</t>
  </si>
  <si>
    <t>cup 1 opens</t>
  </si>
  <si>
    <t>22 (mt)</t>
  </si>
  <si>
    <t>cup 21 closes</t>
  </si>
  <si>
    <t>days spare (need +ve)</t>
  </si>
  <si>
    <t>total</t>
  </si>
  <si>
    <t>pickup-deploy</t>
  </si>
  <si>
    <t xml:space="preserve"> </t>
  </si>
  <si>
    <t>CWE</t>
  </si>
  <si>
    <t>final concentration g/L that we're aiming for</t>
  </si>
  <si>
    <t>Concentration aimed for</t>
  </si>
  <si>
    <t>g/L to be added</t>
  </si>
  <si>
    <t>hence prepare 24L as 2 12L aliquots for easy handling</t>
  </si>
  <si>
    <r>
      <t>sodium chloride, NaCl;</t>
    </r>
    <r>
      <rPr>
        <b/>
        <sz val="12"/>
        <rFont val="Calibri"/>
        <family val="2"/>
        <scheme val="minor"/>
      </rPr>
      <t xml:space="preserve"> Brine concentration needs to be increased to allow for 10mL removal from 250mL and replacement with mercuric chloride</t>
    </r>
    <r>
      <rPr>
        <sz val="12"/>
        <rFont val="Calibri"/>
        <family val="2"/>
        <scheme val="minor"/>
      </rPr>
      <t xml:space="preserve"> (4% dilution), hence aim for 41.6 prior to dilution</t>
    </r>
  </si>
  <si>
    <t>CHECK 1L post 4% dilution</t>
  </si>
  <si>
    <t>concentration per cup, take out 10mL and add 10mL sat HgCl2 to 250mL cup g/L ie 4% salts</t>
  </si>
  <si>
    <t>Merck 1.06404.5000 5kg, Lot. K36021104 618</t>
  </si>
  <si>
    <t>Sigma Aldrich B3545-500G, Batch# 096K00021</t>
  </si>
  <si>
    <t>pH reading after measurements</t>
  </si>
  <si>
    <t>brine Salinity before loading the cups</t>
  </si>
  <si>
    <t>saz22</t>
  </si>
  <si>
    <t>year 2020-21</t>
  </si>
  <si>
    <t>2020 McLane sediment trap brine mercuric chloride concentration brine adjustment</t>
  </si>
  <si>
    <t>Approximately 20L of deep water remains from processing saz20 for saz22 brine prep</t>
  </si>
  <si>
    <t>Collected IN2019_V02</t>
  </si>
  <si>
    <t>3 samples were taken during the course of filtering 10 x 10L carboys. Carboys 2 - 4 are used for saz22 brine. Results for carboy 1 are as follows:</t>
  </si>
  <si>
    <t>Carboy 1</t>
  </si>
  <si>
    <t>IN2019_V02 Sed trap prep brine for SAZ22 NO POISON</t>
  </si>
  <si>
    <t>Actual salt quantities added:</t>
  </si>
  <si>
    <t>pickup</t>
  </si>
  <si>
    <r>
      <t xml:space="preserve">Salts are added to filtered seawater= INV 2019V02 FSW </t>
    </r>
    <r>
      <rPr>
        <b/>
        <sz val="12"/>
        <rFont val="Calibri"/>
        <family val="2"/>
        <scheme val="minor"/>
      </rPr>
      <t>carboy 2&amp;3,</t>
    </r>
    <r>
      <rPr>
        <sz val="12"/>
        <rFont val="Calibri"/>
        <family val="2"/>
        <scheme val="minor"/>
      </rPr>
      <t xml:space="preserve"> 22L total stored at 4C.</t>
    </r>
  </si>
  <si>
    <t>Therefore 22L carboy needs addition of</t>
  </si>
  <si>
    <t>g wt</t>
  </si>
  <si>
    <t>g/22L</t>
  </si>
  <si>
    <t>INV 2019-V02 FSW carboy 2&amp;3, 22L stored 4C.</t>
  </si>
  <si>
    <t>McLane 250x21 frame# 12419-01, controller# 12419-01 and Motor # 12419-01 Cup set AA</t>
  </si>
  <si>
    <t>McLane 250x21 frame # 12993-01, controller # 12993-01 and motor # 12993-01 Cup set AC</t>
  </si>
  <si>
    <t>McLane 250x21 frame# 12419-02, controller# 12419-02 and motor# 12419-02 Cup set AB</t>
  </si>
  <si>
    <t>deploy (tentative)</t>
  </si>
  <si>
    <t>Hanna pH meter, buffers 7.01, 10.01, 12.45, probe condition 100%, slope 97.2%</t>
  </si>
  <si>
    <t>from 22L carboy</t>
  </si>
  <si>
    <t>calibrated with 12.8mS/cm (programmed as 12.88mS/cm, can't help it)</t>
  </si>
  <si>
    <t>sal reading after measurements</t>
  </si>
  <si>
    <t>12.8 mS/cm</t>
  </si>
  <si>
    <t>50 mS/cm</t>
  </si>
  <si>
    <t>53 mS/cm</t>
  </si>
  <si>
    <t>13.08 mS/cm</t>
  </si>
  <si>
    <t>21.9C</t>
  </si>
  <si>
    <t>50.1 mS/cm</t>
  </si>
  <si>
    <t>22.1C</t>
  </si>
  <si>
    <t>22.3C</t>
  </si>
  <si>
    <t>53.1 mS/cm</t>
  </si>
  <si>
    <t>22.4C</t>
  </si>
  <si>
    <t>psu</t>
  </si>
  <si>
    <t>22.6C</t>
  </si>
  <si>
    <t>Conductivity meter (Mettler Toledo Seven Compact), ref temp. 25C, CC: 0.551589/cm 22.oC ATC</t>
  </si>
  <si>
    <r>
      <t>tilt 1</t>
    </r>
    <r>
      <rPr>
        <sz val="11"/>
        <rFont val="Calibri"/>
        <family val="2"/>
      </rPr>
      <t xml:space="preserve">°, tilt set to </t>
    </r>
    <r>
      <rPr>
        <sz val="11"/>
        <rFont val="Calibri"/>
        <family val="2"/>
        <scheme val="minor"/>
      </rPr>
      <t>1440</t>
    </r>
  </si>
  <si>
    <r>
      <t>tilt 3</t>
    </r>
    <r>
      <rPr>
        <sz val="11"/>
        <rFont val="Calibri"/>
        <family val="2"/>
      </rPr>
      <t xml:space="preserve">°, tilt set to </t>
    </r>
    <r>
      <rPr>
        <sz val="11"/>
        <rFont val="Calibri"/>
        <family val="2"/>
        <scheme val="minor"/>
      </rPr>
      <t>1440</t>
    </r>
  </si>
  <si>
    <t>CTD model# SBE37SM, serial# 1777</t>
  </si>
  <si>
    <t>CTD model# SBE37SM, serial# 2955</t>
  </si>
  <si>
    <t>RBR-TDR_2050_16370, serial# 16370</t>
  </si>
  <si>
    <t>SBE37SM – 2955 on wire @ 4500m</t>
  </si>
  <si>
    <t>controller housing corroded on back lid</t>
  </si>
  <si>
    <t>parachute did NOT open on deployment</t>
  </si>
  <si>
    <t>Note: see 2019_saz21 file for best approach to getting sal and pH right. Measure pH and salinity of seawater first!</t>
  </si>
  <si>
    <t>SAZ-22 anchor released at 2020-09-02 08:17:03 UTC, anchor 4566.0(m) lat,lon -46.78570 141.80028 deg triangulated</t>
  </si>
  <si>
    <t>All three traps were sitting fully loaded, with containment rings installed, wrapped in plastic bags, in Di's lab from March 2020 to August 2020. Due to COVID-19 impacts the voyage in April was consistenlty delayed until late August.</t>
  </si>
  <si>
    <t>In preparation for IN2020_V09 I took the plastic covers off the trap carousels and didn't notice any leaks, 31st July 2020.</t>
  </si>
  <si>
    <t>Di discovered crystals around the top of the cups, where the cup shoulders touching the base of the carousel (5th August). 6th August Di and I took the containment rings off all three traps. The stand offs were pushing hard against the cups, conspicuously mostly near the cups that leaked the most.</t>
  </si>
  <si>
    <t>After the contaiment rings were removed no more crystals formed, so the leaks had been rectified.</t>
  </si>
  <si>
    <t>The decision was made not to re-install the containment rings for this deployment.</t>
  </si>
  <si>
    <t>Tom strengthened the cups with 1 wrap of white electrical tape, slightly below mid-height prior to deployment.</t>
  </si>
  <si>
    <t>Parachute did NOT open on deployment.</t>
  </si>
  <si>
    <t>47_1000</t>
  </si>
  <si>
    <t>1_start</t>
  </si>
  <si>
    <t>McLane</t>
  </si>
  <si>
    <t>47_2000</t>
  </si>
  <si>
    <t>47_3800</t>
  </si>
  <si>
    <t>1_end</t>
  </si>
  <si>
    <t>2_start</t>
  </si>
  <si>
    <t>2_end</t>
  </si>
  <si>
    <t>3_end</t>
  </si>
  <si>
    <t>3_start</t>
  </si>
  <si>
    <t>4_end</t>
  </si>
  <si>
    <t>4_start</t>
  </si>
  <si>
    <t>5_end</t>
  </si>
  <si>
    <t>5_start</t>
  </si>
  <si>
    <t>6_end</t>
  </si>
  <si>
    <t>6_start</t>
  </si>
  <si>
    <t>7_end</t>
  </si>
  <si>
    <t>7_start</t>
  </si>
  <si>
    <t>8_end</t>
  </si>
  <si>
    <t>8_start</t>
  </si>
  <si>
    <t>9_end</t>
  </si>
  <si>
    <t>9_start</t>
  </si>
  <si>
    <t>10_end</t>
  </si>
  <si>
    <t>10_start</t>
  </si>
  <si>
    <t>11_end</t>
  </si>
  <si>
    <t>11_start</t>
  </si>
  <si>
    <t>12_end</t>
  </si>
  <si>
    <t>12_start</t>
  </si>
  <si>
    <t>13_end</t>
  </si>
  <si>
    <t>13_start</t>
  </si>
  <si>
    <t>14_end</t>
  </si>
  <si>
    <t>14_start</t>
  </si>
  <si>
    <t>15_end</t>
  </si>
  <si>
    <t>15_start</t>
  </si>
  <si>
    <t>16_end</t>
  </si>
  <si>
    <t>16_start</t>
  </si>
  <si>
    <t>17_end</t>
  </si>
  <si>
    <t>17_start</t>
  </si>
  <si>
    <t>18_end</t>
  </si>
  <si>
    <t>18_start</t>
  </si>
  <si>
    <t>19_end</t>
  </si>
  <si>
    <t>19_start</t>
  </si>
  <si>
    <t>20_end</t>
  </si>
  <si>
    <t>20_start</t>
  </si>
  <si>
    <t>21_end</t>
  </si>
  <si>
    <t>21_start</t>
  </si>
  <si>
    <t>Release code sent to SAZ-22
2021-04-25 21:21:02 UTC,46°47.48' S,141°49.37'E,-46.791340,141.822864,CMD: 132273</t>
  </si>
  <si>
    <t>all 21 cups collected (250ml cups)</t>
  </si>
  <si>
    <t>mg/cup</t>
  </si>
  <si>
    <t>mm</t>
  </si>
  <si>
    <t>10/10</t>
  </si>
  <si>
    <t>cup</t>
  </si>
  <si>
    <t>Cup exist</t>
  </si>
  <si>
    <t>FSW used for processing</t>
  </si>
  <si>
    <t>Processing comments at sieving stage</t>
  </si>
  <si>
    <t>Processing date</t>
  </si>
  <si>
    <t>sed mass</t>
  </si>
  <si>
    <t>Height</t>
  </si>
  <si>
    <t>Cup</t>
  </si>
  <si>
    <t>Position</t>
  </si>
  <si>
    <t>Year</t>
  </si>
  <si>
    <t>Deployment 02/09/2020 IN2020_V09</t>
  </si>
  <si>
    <t>1000m</t>
  </si>
  <si>
    <t xml:space="preserve">[2021-04-29 10:23:07.018] </t>
  </si>
  <si>
    <t>[2021-04-29 10:23:07.031]  Enter &lt;CTRL-C&gt; now to wake up?</t>
  </si>
  <si>
    <t xml:space="preserve">[2021-04-29 10:23:07.675] </t>
  </si>
  <si>
    <t>[2021-04-29 10:23:07.675] _______________________________________________________</t>
  </si>
  <si>
    <t xml:space="preserve">[2021-04-29 10:23:07.738] </t>
  </si>
  <si>
    <t xml:space="preserve">[2021-04-29 10:23:07.738]               </t>
  </si>
  <si>
    <t xml:space="preserve">[2021-04-29 10:23:07.755] </t>
  </si>
  <si>
    <t xml:space="preserve">  McLane Research Laboratories, USA              </t>
  </si>
  <si>
    <t xml:space="preserve">[2021-04-29 10:23:07.803] </t>
  </si>
  <si>
    <t xml:space="preserve">    ParFlux 21-Cup Sediment Trap              </t>
  </si>
  <si>
    <t xml:space="preserve">[2021-04-29 10:23:07.867] </t>
  </si>
  <si>
    <t xml:space="preserve">        with Compass and Tilt              </t>
  </si>
  <si>
    <t xml:space="preserve">[2021-04-29 10:23:07.931] </t>
  </si>
  <si>
    <t xml:space="preserve">Version: PST-21C5.c   S/N: ML12419-01            </t>
  </si>
  <si>
    <t xml:space="preserve">[2021-04-29 10:23:07.995] </t>
  </si>
  <si>
    <t xml:space="preserve">[2021-04-29 10:23:08.011] </t>
  </si>
  <si>
    <t xml:space="preserve"> ÉÍÍÍÍÍÍÍÍÍÍÍÍÍÍÍÍÍÍÍÍÍÍÍÍÍÍÍÍÍÍÍÍÍ»              </t>
  </si>
  <si>
    <t xml:space="preserve">[2021-04-29 10:23:08.074] </t>
  </si>
  <si>
    <t xml:space="preserve"> º            Main Menu            º              </t>
  </si>
  <si>
    <t xml:space="preserve">[2021-04-29 10:23:08.154] </t>
  </si>
  <si>
    <t xml:space="preserve"> ÈÍÍÍÍÍÍÍÍÍÍÍÍÍÍÍÍÍÍÍÍÍÍÍÍÍÍÍÍÍÍÍÍÍ¼              </t>
  </si>
  <si>
    <t xml:space="preserve">[2021-04-29 10:23:08.410] </t>
  </si>
  <si>
    <t xml:space="preserve">      Thu Apr 29 00:02:26 2021</t>
  </si>
  <si>
    <t xml:space="preserve">[2021-04-29 10:23:08.441] </t>
  </si>
  <si>
    <t xml:space="preserve">[2021-04-29 10:23:08.490] </t>
  </si>
  <si>
    <t xml:space="preserve">&lt;1&gt; Set Time             &lt;5&gt; Create Schedule          </t>
  </si>
  <si>
    <t xml:space="preserve">[2021-04-29 10:23:08.579] </t>
  </si>
  <si>
    <t xml:space="preserve">&lt;2&gt; Diagnostics          &lt;6&gt; Deploy System          </t>
  </si>
  <si>
    <t xml:space="preserve">[2021-04-29 10:23:08.698] </t>
  </si>
  <si>
    <t xml:space="preserve">&lt;3&gt; Fill Containers      &lt;7&gt; Offload Data          </t>
  </si>
  <si>
    <t xml:space="preserve">[2021-04-29 10:23:08.794] </t>
  </si>
  <si>
    <t>&lt;4&gt; Sleep                &lt;8&gt; Contacting McLane</t>
  </si>
  <si>
    <t xml:space="preserve">[2021-04-29 10:23:08.836] </t>
  </si>
  <si>
    <t xml:space="preserve">[2021-04-29 10:23:08.857] </t>
  </si>
  <si>
    <t xml:space="preserve">  Selection  ? 2</t>
  </si>
  <si>
    <t xml:space="preserve">[2021-04-29 10:23:13.143] </t>
  </si>
  <si>
    <t>[2021-04-29 10:23:13.190]  Press any key to pause/continue display, &lt;X&gt; to exit</t>
  </si>
  <si>
    <t xml:space="preserve">[2021-04-29 10:23:13.254] </t>
  </si>
  <si>
    <t>[2021-04-29 10:23:15.014]   04/29/2021 00:02:32   17.6 Vb    19øC   1øT  284øH  aligned</t>
  </si>
  <si>
    <t>[2021-04-29 10:23:16.836]   04/29/2021 00:02:33   17.5 Vb    19øC   1øT  277øH  aligned</t>
  </si>
  <si>
    <t>[2021-04-29 10:23:18.674]   04/29/2021 00:02:35   17.4 Vb    19øC   1øT  284øH  aligned</t>
  </si>
  <si>
    <t>[2021-04-29 10:23:20.513]   04/29/2021 00:02:37   17.4 Vb    19øC   1øT  282øH  aligned</t>
  </si>
  <si>
    <t xml:space="preserve">[2021-04-29 10:23:20.593] </t>
  </si>
  <si>
    <t xml:space="preserve">[2021-04-29 10:23:20.609] </t>
  </si>
  <si>
    <t xml:space="preserve">[2021-04-29 10:23:20.657]  Battery voltage is abnormally low.  Check/replace            </t>
  </si>
  <si>
    <t>[2021-04-29 10:23:20.749]  main battery pack before deploying system.</t>
  </si>
  <si>
    <t xml:space="preserve">[2021-04-29 10:23:20.817]           </t>
  </si>
  <si>
    <t xml:space="preserve">[2021-04-29 10:23:20.832] </t>
  </si>
  <si>
    <t>[2021-04-29 10:23:20.849]  Press any key to continue.</t>
  </si>
  <si>
    <t xml:space="preserve">[2021-04-29 10:23:23.423] </t>
  </si>
  <si>
    <t>[2021-04-29 10:23:23.439] _______________________________________________________</t>
  </si>
  <si>
    <t xml:space="preserve">[2021-04-29 10:23:23.504] </t>
  </si>
  <si>
    <t xml:space="preserve">[2021-04-29 10:23:23.504]               </t>
  </si>
  <si>
    <t xml:space="preserve">[2021-04-29 10:23:23.519] </t>
  </si>
  <si>
    <t xml:space="preserve">[2021-04-29 10:23:23.567] </t>
  </si>
  <si>
    <t xml:space="preserve">[2021-04-29 10:23:23.631] </t>
  </si>
  <si>
    <t xml:space="preserve">[2021-04-29 10:23:23.695] </t>
  </si>
  <si>
    <t xml:space="preserve">[2021-04-29 10:23:23.743] </t>
  </si>
  <si>
    <t xml:space="preserve">[2021-04-29 10:23:23.759] </t>
  </si>
  <si>
    <t xml:space="preserve">[2021-04-29 10:23:23.834] </t>
  </si>
  <si>
    <t xml:space="preserve">[2021-04-29 10:23:23.920] </t>
  </si>
  <si>
    <t xml:space="preserve">[2021-04-29 10:23:24.159] </t>
  </si>
  <si>
    <t xml:space="preserve">      Thu Apr 29 00:02:42 2021</t>
  </si>
  <si>
    <t xml:space="preserve">[2021-04-29 10:23:24.207] </t>
  </si>
  <si>
    <t xml:space="preserve">[2021-04-29 10:23:24.255] </t>
  </si>
  <si>
    <t xml:space="preserve">[2021-04-29 10:23:24.351] </t>
  </si>
  <si>
    <t xml:space="preserve">[2021-04-29 10:23:24.447] </t>
  </si>
  <si>
    <t xml:space="preserve">[2021-04-29 10:23:24.559] </t>
  </si>
  <si>
    <t xml:space="preserve">[2021-04-29 10:23:24.606] </t>
  </si>
  <si>
    <t xml:space="preserve">[2021-04-29 10:23:24.622] </t>
  </si>
  <si>
    <t xml:space="preserve">  Selection  ? 7</t>
  </si>
  <si>
    <t xml:space="preserve">[2021-04-29 10:23:25.855] </t>
  </si>
  <si>
    <t xml:space="preserve">[2021-04-29 10:23:25.869] </t>
  </si>
  <si>
    <t>ÉÍÍÍÍÍÍÍÍÍÍÍÍÍÍÍÍÍÍÍÍÍÍÍÍÍÍÍÍÍÍÍÍÍ»</t>
  </si>
  <si>
    <t xml:space="preserve">[2021-04-29 10:23:25.935] </t>
  </si>
  <si>
    <t>º    Offload/Display Data File    º</t>
  </si>
  <si>
    <t xml:space="preserve">[2021-04-29 10:23:25.993] </t>
  </si>
  <si>
    <t>ÈÍÍÍÍÍÍÍÍÍÍÍÍÍÍÍÍÍÍÍÍÍÍÍÍÍÍÍÍÍÍÍÍÍ¼</t>
  </si>
  <si>
    <t xml:space="preserve">[2021-04-29 10:23:26.222] </t>
  </si>
  <si>
    <t xml:space="preserve">     Thu Apr 29 00:02:44 2021</t>
  </si>
  <si>
    <t xml:space="preserve">[2021-04-29 10:23:26.274] </t>
  </si>
  <si>
    <t xml:space="preserve">[2021-04-29 10:23:26.285] </t>
  </si>
  <si>
    <t xml:space="preserve">&lt;1&gt; Display all data        </t>
  </si>
  <si>
    <t xml:space="preserve">[2021-04-29 10:23:26.345] </t>
  </si>
  <si>
    <t xml:space="preserve">&lt;2&gt; Display event summary        </t>
  </si>
  <si>
    <t xml:space="preserve">[2021-04-29 10:23:26.413] </t>
  </si>
  <si>
    <t xml:space="preserve">&lt;3&gt; Display tilt data        </t>
  </si>
  <si>
    <t xml:space="preserve">[2021-04-29 10:23:26.474] </t>
  </si>
  <si>
    <t xml:space="preserve">&lt;4&gt; Display backup EEPROM        </t>
  </si>
  <si>
    <t xml:space="preserve">[2021-04-29 10:23:26.526] </t>
  </si>
  <si>
    <t>&lt;M&gt; Main Menu</t>
  </si>
  <si>
    <t xml:space="preserve">[2021-04-29 10:23:26.542] </t>
  </si>
  <si>
    <t xml:space="preserve">[2021-04-29 10:23:26.559] </t>
  </si>
  <si>
    <t xml:space="preserve">  Selection  ? 1</t>
  </si>
  <si>
    <t xml:space="preserve">[2021-04-29 10:23:28.461] </t>
  </si>
  <si>
    <t xml:space="preserve">[2021-04-29 10:23:28.521]  To copy the instrument data file to a disk file, initiate          </t>
  </si>
  <si>
    <t xml:space="preserve">[2021-04-29 10:23:28.655]  your communication program's file logging command now and          </t>
  </si>
  <si>
    <t xml:space="preserve">[2021-04-29 10:23:28.780]  then press any key to start the transfer.  The instrument          </t>
  </si>
  <si>
    <t xml:space="preserve">[2021-04-29 10:23:28.908]  data file will remain resident and is not erased by this          </t>
  </si>
  <si>
    <t>[2021-04-29 10:23:29.000]  offload procedure.</t>
  </si>
  <si>
    <t xml:space="preserve">[2021-04-29 10:23:29.020] </t>
  </si>
  <si>
    <t xml:space="preserve">[2021-04-29 10:23:30.092] </t>
  </si>
  <si>
    <t xml:space="preserve">[2021-04-29 10:23:30.108]  Software version:  PST-21C5.c          </t>
  </si>
  <si>
    <t>[2021-04-29 10:23:30.150]  Compiled:          Mar 13 2007 14:22:06</t>
  </si>
  <si>
    <t xml:space="preserve">  </t>
  </si>
  <si>
    <t>[2021-04-29 10:23:30.219]  Electronics S/N:   ML12419-01</t>
  </si>
  <si>
    <t xml:space="preserve">[2021-04-29 10:23:30.253] </t>
  </si>
  <si>
    <t>[2021-04-29 10:23:30.556]  Data recording start time = 08/14/2020 00:24:44</t>
  </si>
  <si>
    <t>[2021-04-29 10:23:30.892]  Data recording stop time  = 04/06/2021 00:00:31</t>
  </si>
  <si>
    <t xml:space="preserve">[2021-04-29 10:23:30.957] </t>
  </si>
  <si>
    <t>[2021-04-29 10:23:30.957]  HEADER</t>
  </si>
  <si>
    <t>[2021-04-29 10:23:30.970]  ______</t>
  </si>
  <si>
    <t xml:space="preserve">[2021-04-29 10:23:30.988] </t>
  </si>
  <si>
    <t>[2021-04-29 10:23:30.996]  SAZ22_2020_1000m_ML12419_01_Tilt</t>
  </si>
  <si>
    <t xml:space="preserve">[2021-04-29 10:23:31.034] </t>
  </si>
  <si>
    <t>[2021-04-29 10:23:31.051]  SCHEDULE</t>
  </si>
  <si>
    <t>[2021-04-29 10:23:31.062]  ________</t>
  </si>
  <si>
    <t xml:space="preserve">[2021-04-29 10:23:31.083] </t>
  </si>
  <si>
    <t>[2021-04-29 10:23:31.388]  Event 01 of 22 @ 09/08/2020 00:00:00</t>
  </si>
  <si>
    <t>[2021-04-29 10:23:31.724]  Event 02 of 22 @ 09/18/2020 00:00:00</t>
  </si>
  <si>
    <t>[2021-04-29 10:23:32.075]  Event 03 of 22 @ 09/28/2020 00:00:00</t>
  </si>
  <si>
    <t>[2021-04-29 10:23:32.426]  Event 04 of 22 @ 10/08/2020 00:00:00</t>
  </si>
  <si>
    <t>[2021-04-29 10:23:32.761]  Event 05 of 22 @ 10/18/2020 00:00:00</t>
  </si>
  <si>
    <t>[2021-04-29 10:23:33.114]  Event 06 of 22 @ 10/28/2020 00:00:00</t>
  </si>
  <si>
    <t>[2021-04-29 10:23:33.448]  Event 07 of 22 @ 11/07/2020 00:00:00</t>
  </si>
  <si>
    <t>[2021-04-29 10:23:33.793]  Event 08 of 22 @ 11/17/2020 00:00:00</t>
  </si>
  <si>
    <t>[2021-04-29 10:23:34.153]  Event 09 of 22 @ 11/27/2020 00:00:00</t>
  </si>
  <si>
    <t>[2021-04-29 10:23:34.489]  Event 10 of 22 @ 12/07/2020 00:00:00</t>
  </si>
  <si>
    <t>[2021-04-29 10:23:34.841]  Event 11 of 22 @ 12/17/2020 00:00:00</t>
  </si>
  <si>
    <t>[2021-04-29 10:23:35.192]  Event 12 of 22 @ 12/27/2020 00:00:00</t>
  </si>
  <si>
    <t>[2021-04-29 10:23:35.526]  Event 13 of 22 @ 01/06/2021 00:00:00</t>
  </si>
  <si>
    <t>[2021-04-29 10:23:35.880]  Event 14 of 22 @ 01/16/2021 00:00:00</t>
  </si>
  <si>
    <t>[2021-04-29 10:23:36.217]  Event 15 of 22 @ 01/26/2021 00:00:00</t>
  </si>
  <si>
    <t>[2021-04-29 10:23:36.568]  Event 16 of 22 @ 02/05/2021 00:00:00</t>
  </si>
  <si>
    <t>[2021-04-29 10:23:36.904]  Event 17 of 22 @ 02/15/2021 00:00:00</t>
  </si>
  <si>
    <t>[2021-04-29 10:23:37.255]  Event 18 of 22 @ 02/25/2021 00:00:00</t>
  </si>
  <si>
    <t>[2021-04-29 10:23:37.593]  Event 19 of 22 @ 03/07/2021 00:00:00</t>
  </si>
  <si>
    <t>[2021-04-29 10:23:37.942]  Event 20 of 22 @ 03/17/2021 00:00:00</t>
  </si>
  <si>
    <t>[2021-04-29 10:23:38.281]  Event 21 of 22 @ 03/27/2021 00:00:00</t>
  </si>
  <si>
    <t>[2021-04-29 10:23:38.630]  Event 22 of 22 @ 04/06/2021 00:00:00</t>
  </si>
  <si>
    <t xml:space="preserve">[2021-04-29 10:23:38.677] </t>
  </si>
  <si>
    <t>[2021-04-29 10:23:38.677]  DEPLOYMENT DATA</t>
  </si>
  <si>
    <t>[2021-04-29 10:23:38.709]  _______________</t>
  </si>
  <si>
    <t xml:space="preserve">[2021-04-29 10:23:38.744] </t>
  </si>
  <si>
    <t>[2021-04-29 10:23:38.757]  Event 01</t>
  </si>
  <si>
    <t xml:space="preserve">[2021-04-29 10:23:38.757] </t>
  </si>
  <si>
    <t>[2021-04-29 10:23:39.062]  Scheduled start time:  09/08/2020 00:00:00</t>
  </si>
  <si>
    <t>[2021-04-29 10:23:39.407]  Event start time:      09/08/2020 00:00:00</t>
  </si>
  <si>
    <t>[2021-04-29 10:23:39.766]  Event stop time:       09/08/2020 00:00:28</t>
  </si>
  <si>
    <t xml:space="preserve">[2021-04-29 10:23:39.829] </t>
  </si>
  <si>
    <t>[2021-04-29 10:23:39.875]          Aligned  Battery  Temperature  Tilt  Heading</t>
  </si>
  <si>
    <t>[2021-04-29 10:23:40.022]  Start:     Y       18.8        5øC       1ø    347ø</t>
  </si>
  <si>
    <t>[2021-04-29 10:23:40.181]  Stop:      Y       18.5        5øC       1ø    322ø</t>
  </si>
  <si>
    <t xml:space="preserve">[2021-04-29 10:23:40.245] </t>
  </si>
  <si>
    <t>[2021-04-29 10:23:40.260]  Event 02</t>
  </si>
  <si>
    <t xml:space="preserve">[2021-04-29 10:23:40.260] </t>
  </si>
  <si>
    <t>[2021-04-29 10:23:40.562]  Scheduled start time:  09/18/2020 00:00:00</t>
  </si>
  <si>
    <t>[2021-04-29 10:23:40.915]  Event start time:      09/18/2020 00:00:00</t>
  </si>
  <si>
    <t>[2021-04-29 10:23:41.268]  Event stop time:       09/18/2020 00:00:28</t>
  </si>
  <si>
    <t xml:space="preserve">[2021-04-29 10:23:41.332] </t>
  </si>
  <si>
    <t>[2021-04-29 10:23:41.380]          Aligned  Battery  Temperature  Tilt  Heading</t>
  </si>
  <si>
    <t>[2021-04-29 10:23:41.540]  Start:     Y       18.7        5øC       1ø    304ø</t>
  </si>
  <si>
    <t>[2021-04-29 10:23:41.683]  Stop:      Y       18.4        5øC       0ø    316ø</t>
  </si>
  <si>
    <t xml:space="preserve">[2021-04-29 10:23:41.747] </t>
  </si>
  <si>
    <t>[2021-04-29 10:23:41.763]  Event 03</t>
  </si>
  <si>
    <t xml:space="preserve">[2021-04-29 10:23:41.763] </t>
  </si>
  <si>
    <t>[2021-04-29 10:23:42.067]  Scheduled start time:  09/28/2020 00:00:00</t>
  </si>
  <si>
    <t>[2021-04-29 10:23:42.419]  Event start time:      09/28/2020 00:00:00</t>
  </si>
  <si>
    <t>[2021-04-29 10:23:42.787]  Event stop time:       09/28/2020 00:00:28</t>
  </si>
  <si>
    <t xml:space="preserve">[2021-04-29 10:23:42.835] </t>
  </si>
  <si>
    <t>[2021-04-29 10:23:42.881]          Aligned  Battery  Temperature  Tilt  Heading</t>
  </si>
  <si>
    <t>[2021-04-29 10:23:43.043]  Start:     Y       18.6        5øC       1ø    188ø</t>
  </si>
  <si>
    <t>[2021-04-29 10:23:43.185]  Stop:      Y       18.3        5øC       1ø    182ø</t>
  </si>
  <si>
    <t xml:space="preserve">[2021-04-29 10:23:43.249] </t>
  </si>
  <si>
    <t>[2021-04-29 10:23:43.265]  Event 04</t>
  </si>
  <si>
    <t xml:space="preserve">[2021-04-29 10:23:43.281] </t>
  </si>
  <si>
    <t>[2021-04-29 10:23:43.587]  Scheduled start time:  10/08/2020 00:00:00</t>
  </si>
  <si>
    <t>[2021-04-29 10:23:43.938]  Event start time:      10/08/2020 00:00:00</t>
  </si>
  <si>
    <t>[2021-04-29 10:23:44.289]  Event stop time:       10/08/2020 00:00:28</t>
  </si>
  <si>
    <t xml:space="preserve">[2021-04-29 10:23:44.338] </t>
  </si>
  <si>
    <t>[2021-04-29 10:23:44.384]          Aligned  Battery  Temperature  Tilt  Heading</t>
  </si>
  <si>
    <t>[2021-04-29 10:23:44.546]  Start:     Y       18.5        5øC       1ø    129ø</t>
  </si>
  <si>
    <t>[2021-04-29 10:23:44.690]  Stop:      Y       18.3        6øC       1ø    114ø</t>
  </si>
  <si>
    <t xml:space="preserve">[2021-04-29 10:23:44.753] </t>
  </si>
  <si>
    <t>[2021-04-29 10:23:44.768]  Event 05</t>
  </si>
  <si>
    <t xml:space="preserve">[2021-04-29 10:23:44.784] </t>
  </si>
  <si>
    <t>[2021-04-29 10:23:45.090]  Scheduled start time:  10/18/2020 00:00:00</t>
  </si>
  <si>
    <t>[2021-04-29 10:23:45.441]  Event start time:      10/18/2020 00:00:00</t>
  </si>
  <si>
    <t>[2021-04-29 10:23:45.793]  Event stop time:       10/18/2020 00:00:28</t>
  </si>
  <si>
    <t xml:space="preserve">[2021-04-29 10:23:45.841] </t>
  </si>
  <si>
    <t>[2021-04-29 10:23:45.888]          Aligned  Battery  Temperature  Tilt  Heading</t>
  </si>
  <si>
    <t>[2021-04-29 10:23:46.047]  Start:     Y       18.6        6øC       1ø    241ø</t>
  </si>
  <si>
    <t>[2021-04-29 10:23:46.209]  Stop:      Y       18.2        6øC       0ø    256ø</t>
  </si>
  <si>
    <t xml:space="preserve">[2021-04-29 10:23:46.257] </t>
  </si>
  <si>
    <t>[2021-04-29 10:23:46.272]  Event 06</t>
  </si>
  <si>
    <t xml:space="preserve">[2021-04-29 10:23:46.288] </t>
  </si>
  <si>
    <t>[2021-04-29 10:23:46.593]  Scheduled start time:  10/28/2020 00:00:00</t>
  </si>
  <si>
    <t>[2021-04-29 10:23:46.944]  Event start time:      10/28/2020 00:00:00</t>
  </si>
  <si>
    <t>[2021-04-29 10:23:47.296]  Event stop time:       10/28/2020 00:00:28</t>
  </si>
  <si>
    <t xml:space="preserve">[2021-04-29 10:23:47.344] </t>
  </si>
  <si>
    <t>[2021-04-29 10:23:47.391]          Aligned  Battery  Temperature  Tilt  Heading</t>
  </si>
  <si>
    <t>[2021-04-29 10:23:47.545]  Start:     Y       18.5        6øC       1ø    259ø</t>
  </si>
  <si>
    <t>[2021-04-29 10:23:47.712]  Stop:      Y       18.1        6øC       1ø    271ø</t>
  </si>
  <si>
    <t xml:space="preserve">[2021-04-29 10:23:47.759] </t>
  </si>
  <si>
    <t>[2021-04-29 10:23:47.774]  Event 07</t>
  </si>
  <si>
    <t xml:space="preserve">[2021-04-29 10:23:47.791] </t>
  </si>
  <si>
    <t>[2021-04-29 10:23:48.096]  Scheduled start time:  11/07/2020 00:00:00</t>
  </si>
  <si>
    <t>[2021-04-29 10:23:48.446]  Event start time:      11/07/2020 00:00:00</t>
  </si>
  <si>
    <t>[2021-04-29 10:23:48.799]  Event stop time:       11/07/2020 00:00:28</t>
  </si>
  <si>
    <t xml:space="preserve">[2021-04-29 10:23:48.847] </t>
  </si>
  <si>
    <t>[2021-04-29 10:23:48.892]          Aligned  Battery  Temperature  Tilt  Heading</t>
  </si>
  <si>
    <t>[2021-04-29 10:23:49.053]  Start:     Y       18.4        5øC       1ø    302ø</t>
  </si>
  <si>
    <t>[2021-04-29 10:23:49.215]  Stop:      Y       18.0        6øC       1ø    293ø</t>
  </si>
  <si>
    <t xml:space="preserve">[2021-04-29 10:23:49.280] </t>
  </si>
  <si>
    <t>[2021-04-29 10:23:49.280]  Event 08</t>
  </si>
  <si>
    <t xml:space="preserve">[2021-04-29 10:23:49.293] </t>
  </si>
  <si>
    <t>[2021-04-29 10:23:49.598]  Scheduled start time:  11/17/2020 00:00:00</t>
  </si>
  <si>
    <t>[2021-04-29 10:23:49.950]  Event start time:      11/17/2020 00:00:00</t>
  </si>
  <si>
    <t>[2021-04-29 10:23:50.302]  Event stop time:       11/17/2020 00:00:28</t>
  </si>
  <si>
    <t xml:space="preserve">[2021-04-29 10:23:50.350] </t>
  </si>
  <si>
    <t>[2021-04-29 10:23:50.397]          Aligned  Battery  Temperature  Tilt  Heading</t>
  </si>
  <si>
    <t>[2021-04-29 10:23:50.558]  Start:     Y       18.3        5øC       1ø    261ø</t>
  </si>
  <si>
    <t>[2021-04-29 10:23:50.718]  Stop:      Y       18.0        6øC       1ø    287ø</t>
  </si>
  <si>
    <t xml:space="preserve">[2021-04-29 10:23:50.780] </t>
  </si>
  <si>
    <t>[2021-04-29 10:23:50.780]  Event 09</t>
  </si>
  <si>
    <t xml:space="preserve">[2021-04-29 10:23:50.796] </t>
  </si>
  <si>
    <t>[2021-04-29 10:23:51.101]  Scheduled start time:  11/27/2020 00:00:00</t>
  </si>
  <si>
    <t>[2021-04-29 10:23:51.451]  Event start time:      11/27/2020 00:00:00</t>
  </si>
  <si>
    <t>[2021-04-29 10:23:51.804]  Event stop time:       11/27/2020 00:00:28</t>
  </si>
  <si>
    <t xml:space="preserve">[2021-04-29 10:23:51.853] </t>
  </si>
  <si>
    <t>[2021-04-29 10:23:51.899]          Aligned  Battery  Temperature  Tilt  Heading</t>
  </si>
  <si>
    <t>[2021-04-29 10:23:52.061]  Start:     Y       18.3        6øC       1ø    303ø</t>
  </si>
  <si>
    <t>[2021-04-29 10:23:52.219]  Stop:      Y       17.9        6øC       1ø    321ø</t>
  </si>
  <si>
    <t xml:space="preserve">[2021-04-29 10:23:52.283] </t>
  </si>
  <si>
    <t>[2021-04-29 10:23:52.283]  Event 10</t>
  </si>
  <si>
    <t xml:space="preserve">[2021-04-29 10:23:52.302] </t>
  </si>
  <si>
    <t>[2021-04-29 10:23:52.604]  Scheduled start time:  12/07/2020 00:00:00</t>
  </si>
  <si>
    <t>[2021-04-29 10:23:52.956]  Event start time:      12/07/2020 00:00:00</t>
  </si>
  <si>
    <t>[2021-04-29 10:23:53.311]  Event stop time:       12/07/2020 00:00:28</t>
  </si>
  <si>
    <t xml:space="preserve">[2021-04-29 10:23:53.372] </t>
  </si>
  <si>
    <t>[2021-04-29 10:23:53.398]          Aligned  Battery  Temperature  Tilt  Heading</t>
  </si>
  <si>
    <t>[2021-04-29 10:23:53.563]  Start:     Y       18.2        5øC       2ø    324ø</t>
  </si>
  <si>
    <t>[2021-04-29 10:23:53.724]  Stop:      Y       17.8        5øC       2ø    331ø</t>
  </si>
  <si>
    <t xml:space="preserve">[2021-04-29 10:23:53.787] </t>
  </si>
  <si>
    <t>[2021-04-29 10:23:53.787]  Event 11</t>
  </si>
  <si>
    <t xml:space="preserve">[2021-04-29 10:23:53.802] </t>
  </si>
  <si>
    <t>[2021-04-29 10:23:54.108]  Scheduled start time:  12/17/2020 00:00:00</t>
  </si>
  <si>
    <t>[2021-04-29 10:23:54.457]  Event start time:      12/17/2020 00:00:00</t>
  </si>
  <si>
    <t>[2021-04-29 10:23:54.809]  Event stop time:       12/17/2020 00:00:28</t>
  </si>
  <si>
    <t xml:space="preserve">[2021-04-29 10:23:54.874] </t>
  </si>
  <si>
    <t>[2021-04-29 10:23:54.922]          Aligned  Battery  Temperature  Tilt  Heading</t>
  </si>
  <si>
    <t>[2021-04-29 10:23:55.083]  Start:     Y       18.1        5øC       1ø    357ø</t>
  </si>
  <si>
    <t>[2021-04-29 10:23:55.227]  Stop:      Y       17.7        5øC       1ø    324ø</t>
  </si>
  <si>
    <t xml:space="preserve">[2021-04-29 10:23:55.290] </t>
  </si>
  <si>
    <t>[2021-04-29 10:23:55.307]  Event 12</t>
  </si>
  <si>
    <t xml:space="preserve">[2021-04-29 10:23:55.321] </t>
  </si>
  <si>
    <t>[2021-04-29 10:23:55.627]  Scheduled start time:  12/27/2020 00:00:00</t>
  </si>
  <si>
    <t>[2021-04-29 10:23:55.977]  Event start time:      12/27/2020 00:00:00</t>
  </si>
  <si>
    <t>[2021-04-29 10:23:56.330]  Event stop time:       12/27/2020 00:00:28</t>
  </si>
  <si>
    <t xml:space="preserve">[2021-04-29 10:23:56.377] </t>
  </si>
  <si>
    <t>[2021-04-29 10:23:56.418]          Aligned  Battery  Temperature  Tilt  Heading</t>
  </si>
  <si>
    <t>[2021-04-29 10:23:56.585]  Start:     Y       18.0        6øC       2ø    326ø</t>
  </si>
  <si>
    <t>[2021-04-29 10:23:56.746]  Stop:      Y       17.7        6øC       1ø    340ø</t>
  </si>
  <si>
    <t xml:space="preserve">[2021-04-29 10:23:56.796] </t>
  </si>
  <si>
    <t>[2021-04-29 10:23:56.808]  Event 13</t>
  </si>
  <si>
    <t xml:space="preserve">[2021-04-29 10:23:56.824] </t>
  </si>
  <si>
    <t>[2021-04-29 10:23:57.129]  Scheduled start time:  01/06/2021 00:00:00</t>
  </si>
  <si>
    <t>[2021-04-29 10:23:57.481]  Event start time:      01/06/2021 00:00:00</t>
  </si>
  <si>
    <t>[2021-04-29 10:23:57.817]  Event stop time:       01/06/2021 00:00:28</t>
  </si>
  <si>
    <t xml:space="preserve">[2021-04-29 10:23:57.881] </t>
  </si>
  <si>
    <t>[2021-04-29 10:23:57.928]          Aligned  Battery  Temperature  Tilt  Heading</t>
  </si>
  <si>
    <t>[2021-04-29 10:23:58.088]  Start:     Y       18.0        6øC       2ø     32ø</t>
  </si>
  <si>
    <t>[2021-04-29 10:23:58.248]  Stop:      Y       17.6        6øC       1ø     30ø</t>
  </si>
  <si>
    <t xml:space="preserve">[2021-04-29 10:23:58.298] </t>
  </si>
  <si>
    <t>[2021-04-29 10:23:58.307]  Event 14</t>
  </si>
  <si>
    <t xml:space="preserve">[2021-04-29 10:23:58.327] </t>
  </si>
  <si>
    <t>[2021-04-29 10:23:58.632]  Scheduled start time:  01/16/2021 00:00:00</t>
  </si>
  <si>
    <t>[2021-04-29 10:23:58.982]  Event start time:      01/16/2021 00:00:00</t>
  </si>
  <si>
    <t>[2021-04-29 10:23:59.333]  Event stop time:       01/16/2021 00:00:28</t>
  </si>
  <si>
    <t xml:space="preserve">[2021-04-29 10:23:59.383] </t>
  </si>
  <si>
    <t>[2021-04-29 10:23:59.430]          Aligned  Battery  Temperature  Tilt  Heading</t>
  </si>
  <si>
    <t>[2021-04-29 10:23:59.586]  Start:     Y       17.9        5øC       1ø      7ø</t>
  </si>
  <si>
    <t>[2021-04-29 10:23:59.751]  Stop:      Y       17.5        5øC       1ø     27ø</t>
  </si>
  <si>
    <t xml:space="preserve">[2021-04-29 10:23:59.799] </t>
  </si>
  <si>
    <t>[2021-04-29 10:23:59.814]  Event 15</t>
  </si>
  <si>
    <t xml:space="preserve">[2021-04-29 10:23:59.831] </t>
  </si>
  <si>
    <t>[2021-04-29 10:24:00.137]  Scheduled start time:  01/26/2021 00:00:00</t>
  </si>
  <si>
    <t>[2021-04-29 10:24:00.484]  Event start time:      01/26/2021 00:00:00</t>
  </si>
  <si>
    <t>[2021-04-29 10:24:00.836]  Event stop time:       01/26/2021 00:00:28</t>
  </si>
  <si>
    <t xml:space="preserve">[2021-04-29 10:24:00.885] </t>
  </si>
  <si>
    <t>[2021-04-29 10:24:00.933]          Aligned  Battery  Temperature  Tilt  Heading</t>
  </si>
  <si>
    <t>[2021-04-29 10:24:01.094]  Start:     Y       17.8        5øC       1ø    344ø</t>
  </si>
  <si>
    <t>[2021-04-29 10:24:01.253]  Stop:      Y       17.4        5øC       1ø    351ø</t>
  </si>
  <si>
    <t xml:space="preserve">[2021-04-29 10:24:01.301] </t>
  </si>
  <si>
    <t>[2021-04-29 10:24:01.317]  Event 16</t>
  </si>
  <si>
    <t xml:space="preserve">[2021-04-29 10:24:01.334] </t>
  </si>
  <si>
    <t>[2021-04-29 10:24:01.635]  Scheduled start time:  02/05/2021 00:00:00</t>
  </si>
  <si>
    <t>[2021-04-29 10:24:01.987]  Event start time:      02/05/2021 00:00:00</t>
  </si>
  <si>
    <t>[2021-04-29 10:24:02.325]  Event stop time:       02/05/2021 00:00:28</t>
  </si>
  <si>
    <t xml:space="preserve">[2021-04-29 10:24:02.389] </t>
  </si>
  <si>
    <t>[2021-04-29 10:24:02.436]          Aligned  Battery  Temperature  Tilt  Heading</t>
  </si>
  <si>
    <t>[2021-04-29 10:24:02.595]  Start:     Y       17.7        5øC       2ø     20ø</t>
  </si>
  <si>
    <t>[2021-04-29 10:24:02.755]  Stop:      Y       17.3        6øC       2ø     23ø</t>
  </si>
  <si>
    <t xml:space="preserve">[2021-04-29 10:24:02.803] </t>
  </si>
  <si>
    <t>[2021-04-29 10:24:02.819]  Event 17</t>
  </si>
  <si>
    <t xml:space="preserve">[2021-04-29 10:24:02.835] </t>
  </si>
  <si>
    <t>[2021-04-29 10:24:03.139]  Scheduled start time:  02/15/2021 00:00:00</t>
  </si>
  <si>
    <t>[2021-04-29 10:24:03.490]  Event start time:      02/15/2021 00:00:00</t>
  </si>
  <si>
    <t>[2021-04-29 10:24:03.842]  Event stop time:       02/15/2021 00:00:28</t>
  </si>
  <si>
    <t xml:space="preserve">[2021-04-29 10:24:03.890] </t>
  </si>
  <si>
    <t>[2021-04-29 10:24:03.937]          Aligned  Battery  Temperature  Tilt  Heading</t>
  </si>
  <si>
    <t>[2021-04-29 10:24:04.098]  Start:     Y       17.7        5øC       3ø     35ø</t>
  </si>
  <si>
    <t>[2021-04-29 10:24:04.258]  Stop:      Y       17.3        6øC       3ø     33ø</t>
  </si>
  <si>
    <t xml:space="preserve">[2021-04-29 10:24:04.307] </t>
  </si>
  <si>
    <t>[2021-04-29 10:24:04.321]  Event 18</t>
  </si>
  <si>
    <t xml:space="preserve">[2021-04-29 10:24:04.337] </t>
  </si>
  <si>
    <t>[2021-04-29 10:24:04.641]  Scheduled start time:  02/25/2021 00:00:00</t>
  </si>
  <si>
    <t>[2021-04-29 10:24:04.994]  Event start time:      02/25/2021 00:00:00</t>
  </si>
  <si>
    <t>[2021-04-29 10:24:05.347]  Event stop time:       02/25/2021 00:00:28</t>
  </si>
  <si>
    <t xml:space="preserve">[2021-04-29 10:24:05.393] </t>
  </si>
  <si>
    <t>[2021-04-29 10:24:05.440]          Aligned  Battery  Temperature  Tilt  Heading</t>
  </si>
  <si>
    <t>[2021-04-29 10:24:05.602]  Start:     Y       17.6        5øC       3ø     51ø</t>
  </si>
  <si>
    <t>[2021-04-29 10:24:05.760]  Stop:      Y       17.2        5øC       2ø     56ø</t>
  </si>
  <si>
    <t xml:space="preserve">[2021-04-29 10:24:05.809] </t>
  </si>
  <si>
    <t>[2021-04-29 10:24:05.824]  Event 19</t>
  </si>
  <si>
    <t xml:space="preserve">[2021-04-29 10:24:05.841] </t>
  </si>
  <si>
    <t>[2021-04-29 10:24:06.147]  Scheduled start time:  03/07/2021 00:00:00</t>
  </si>
  <si>
    <t>[2021-04-29 10:24:06.498]  Event start time:      03/07/2021 00:00:00</t>
  </si>
  <si>
    <t>[2021-04-29 10:24:06.850]  Event stop time:       03/07/2021 00:00:28</t>
  </si>
  <si>
    <t xml:space="preserve">[2021-04-29 10:24:06.896] </t>
  </si>
  <si>
    <t>[2021-04-29 10:24:06.945]          Aligned  Battery  Temperature  Tilt  Heading</t>
  </si>
  <si>
    <t>[2021-04-29 10:24:07.105]  Start:     Y       17.5        6øC       1ø     88ø</t>
  </si>
  <si>
    <t>[2021-04-29 10:24:07.265]  Stop:      Y       17.1        6øC       1ø     96ø</t>
  </si>
  <si>
    <t xml:space="preserve">[2021-04-29 10:24:07.312] </t>
  </si>
  <si>
    <t>[2021-04-29 10:24:07.328]  Event 20</t>
  </si>
  <si>
    <t xml:space="preserve">[2021-04-29 10:24:07.344] </t>
  </si>
  <si>
    <t>[2021-04-29 10:24:07.648]  Scheduled start time:  03/17/2021 00:00:00</t>
  </si>
  <si>
    <t>[2021-04-29 10:24:08.001]  Event start time:      03/17/2021 00:00:00</t>
  </si>
  <si>
    <t>[2021-04-29 10:24:08.354]  Event stop time:       03/17/2021 00:00:28</t>
  </si>
  <si>
    <t xml:space="preserve">[2021-04-29 10:24:08.402] </t>
  </si>
  <si>
    <t>[2021-04-29 10:24:08.440]          Aligned  Battery  Temperature  Tilt  Heading</t>
  </si>
  <si>
    <t>[2021-04-29 10:24:08.607]  Start:     Y       17.4        5øC       1ø     84ø</t>
  </si>
  <si>
    <t>[2021-04-29 10:24:08.768]  Stop:      Y       17.0        6øC       1ø     85ø</t>
  </si>
  <si>
    <t xml:space="preserve">[2021-04-29 10:24:08.832] </t>
  </si>
  <si>
    <t>[2021-04-29 10:24:08.832]  Event 21</t>
  </si>
  <si>
    <t xml:space="preserve">[2021-04-29 10:24:08.847] </t>
  </si>
  <si>
    <t>[2021-04-29 10:24:09.153]  Scheduled start time:  03/27/2021 00:00:00</t>
  </si>
  <si>
    <t>[2021-04-29 10:24:09.504]  Event start time:      03/27/2021 00:00:00</t>
  </si>
  <si>
    <t>[2021-04-29 10:24:09.855]  Event stop time:       03/27/2021 00:00:28</t>
  </si>
  <si>
    <t xml:space="preserve">[2021-04-29 10:24:09.903] </t>
  </si>
  <si>
    <t>[2021-04-29 10:24:09.949]          Aligned  Battery  Temperature  Tilt  Heading</t>
  </si>
  <si>
    <t>[2021-04-29 10:24:10.112]  Start:     Y       17.4        6øC       1ø    126ø</t>
  </si>
  <si>
    <t>[2021-04-29 10:24:10.272]  Stop:      Y       16.9        6øC       1ø    139ø</t>
  </si>
  <si>
    <t xml:space="preserve">[2021-04-29 10:24:10.319] </t>
  </si>
  <si>
    <t>[2021-04-29 10:24:10.328]  Event 22</t>
  </si>
  <si>
    <t xml:space="preserve">[2021-04-29 10:24:10.351] </t>
  </si>
  <si>
    <t>[2021-04-29 10:24:10.655]  Scheduled start time:  04/06/2021 00:00:00</t>
  </si>
  <si>
    <t>[2021-04-29 10:24:11.005]  Event start time:      04/06/2021 00:00:00</t>
  </si>
  <si>
    <t>[2021-04-29 10:24:11.359]  Event stop time:       04/06/2021 00:00:28</t>
  </si>
  <si>
    <t xml:space="preserve">[2021-04-29 10:24:11.405] </t>
  </si>
  <si>
    <t>[2021-04-29 10:24:11.452]          Aligned  Battery  Temperature  Tilt  Heading</t>
  </si>
  <si>
    <t>[2021-04-29 10:24:11.614]  Start:     Y       17.3        6øC       1ø     84ø</t>
  </si>
  <si>
    <t>[2021-04-29 10:24:11.775]  Stop:      Y       16.8        6øC       1ø     78ø</t>
  </si>
  <si>
    <t xml:space="preserve">[2021-04-29 10:24:11.821] </t>
  </si>
  <si>
    <t>[2021-04-29 10:24:11.837]  TILT DATA</t>
  </si>
  <si>
    <t>[2021-04-29 10:24:11.853]  _________</t>
  </si>
  <si>
    <t xml:space="preserve">[2021-04-29 10:24:11.869]   </t>
  </si>
  <si>
    <t xml:space="preserve">[2021-04-29 10:24:11.885]  Tilt sample interval:  1440 minutes            </t>
  </si>
  <si>
    <t xml:space="preserve">[2021-04-29 10:24:11.950] </t>
  </si>
  <si>
    <t>[2021-04-29 10:24:11.950]  Event  Tilt  Heading</t>
  </si>
  <si>
    <t xml:space="preserve">[2021-04-29 10:24:11.982] </t>
  </si>
  <si>
    <t>[2021-04-29 10:24:12.009]    01    1øT    18øH</t>
  </si>
  <si>
    <t>[2021-04-29 10:24:12.077]    01    1øT   348øH</t>
  </si>
  <si>
    <t>[2021-04-29 10:24:12.140]    01    1øT    62øH</t>
  </si>
  <si>
    <t>[2021-04-29 10:24:12.189]    01    1øT   347øH</t>
  </si>
  <si>
    <t>[2021-04-29 10:24:12.253]    01    0øT   115øH</t>
  </si>
  <si>
    <t>[2021-04-29 10:24:12.316]    01    1øT   331øH</t>
  </si>
  <si>
    <t>[2021-04-29 10:24:12.364]    01    1øT   234øH</t>
  </si>
  <si>
    <t>[2021-04-29 10:24:12.429]    01    1øT   327øH</t>
  </si>
  <si>
    <t>[2021-04-29 10:24:12.493]    01    1øT   326øH</t>
  </si>
  <si>
    <t>[2021-04-29 10:24:12.534]    02    1øT   215øH</t>
  </si>
  <si>
    <t>[2021-04-29 10:24:12.598]    02    1øT   101øH</t>
  </si>
  <si>
    <t>[2021-04-29 10:24:12.668]    02    0øT   247øH</t>
  </si>
  <si>
    <t>[2021-04-29 10:24:12.715]    02    1øT   168øH</t>
  </si>
  <si>
    <t>[2021-04-29 10:24:12.776]    02    0øT   241øH</t>
  </si>
  <si>
    <t>[2021-04-29 10:24:12.843]    02    1øT   166øH</t>
  </si>
  <si>
    <t>[2021-04-29 10:24:12.892]    02    1øT   174øH</t>
  </si>
  <si>
    <t>[2021-04-29 10:24:12.955]    02    1øT   219øH</t>
  </si>
  <si>
    <t>[2021-04-29 10:24:13.021]    02    0øT    23øH</t>
  </si>
  <si>
    <t>[2021-04-29 10:24:13.081]    03    1øT   238øH</t>
  </si>
  <si>
    <t>[2021-04-29 10:24:13.132]    03    1øT   155øH</t>
  </si>
  <si>
    <t>[2021-04-29 10:24:13.199]    03    1øT   202øH</t>
  </si>
  <si>
    <t>[2021-04-29 10:24:13.259]    03    1øT   191øH</t>
  </si>
  <si>
    <t>[2021-04-29 10:24:13.300]    03    1øT   184øH</t>
  </si>
  <si>
    <t>[2021-04-29 10:24:13.371]    03    1øT   217øH</t>
  </si>
  <si>
    <t>[2021-04-29 10:24:13.436]    03    1øT   159øH</t>
  </si>
  <si>
    <t>[2021-04-29 10:24:13.483]    03    1øT   195øH</t>
  </si>
  <si>
    <t>[2021-04-29 10:24:13.548]    03    1øT   171øH</t>
  </si>
  <si>
    <t>[2021-04-29 10:24:13.612]    04    1øT   155øH</t>
  </si>
  <si>
    <t>[2021-04-29 10:24:13.661]    04    1øT   174øH</t>
  </si>
  <si>
    <t>[2021-04-29 10:24:13.722]    04    1øT   128øH</t>
  </si>
  <si>
    <t>[2021-04-29 10:24:13.781]    04    1øT   179øH</t>
  </si>
  <si>
    <t>[2021-04-29 10:24:13.835]    04    1øT   131øH</t>
  </si>
  <si>
    <t>[2021-04-29 10:24:13.899]    04    1øT   175øH</t>
  </si>
  <si>
    <t>[2021-04-29 10:24:13.960]    04    1øT   210øH</t>
  </si>
  <si>
    <t>[2021-04-29 10:24:14.011]    04    1øT   208øH</t>
  </si>
  <si>
    <t>[2021-04-29 10:24:14.070]    04    1øT   212øH</t>
  </si>
  <si>
    <t>[2021-04-29 10:24:14.134]    05    1øT    66øH</t>
  </si>
  <si>
    <t>[2021-04-29 10:24:14.198]    05    1øT    46øH</t>
  </si>
  <si>
    <t>[2021-04-29 10:24:14.250]    05    0øT   107øH</t>
  </si>
  <si>
    <t>[2021-04-29 10:24:14.316]    05    0øT   347øH</t>
  </si>
  <si>
    <t>[2021-04-29 10:24:14.376]    05    0øT   182øH</t>
  </si>
  <si>
    <t>[2021-04-29 10:24:14.427]    05    1øT   326øH</t>
  </si>
  <si>
    <t>[2021-04-29 10:24:14.484]    05    0øT   348øH</t>
  </si>
  <si>
    <t>[2021-04-29 10:24:14.551]    05    0øT   136øH</t>
  </si>
  <si>
    <t>[2021-04-29 10:24:14.603]    05    1øT   248øH</t>
  </si>
  <si>
    <t>[2021-04-29 10:24:14.666]    06    1øT   305øH</t>
  </si>
  <si>
    <t>[2021-04-29 10:24:14.729]    06    1øT   268øH</t>
  </si>
  <si>
    <t>[2021-04-29 10:24:14.777]    06    1øT   292øH</t>
  </si>
  <si>
    <t>[2021-04-29 10:24:14.835]    06    1øT   292øH</t>
  </si>
  <si>
    <t>[2021-04-29 10:24:14.906]    06    1øT   302øH</t>
  </si>
  <si>
    <t>[2021-04-29 10:24:14.955]    06    2øT   299øH</t>
  </si>
  <si>
    <t>[2021-04-29 10:24:15.018]    06    1øT   351øH</t>
  </si>
  <si>
    <t>[2021-04-29 10:24:15.083]    06    1øT   321øH</t>
  </si>
  <si>
    <t>[2021-04-29 10:24:15.128]    06    1øT   337øH</t>
  </si>
  <si>
    <t>[2021-04-29 10:24:15.195]    07    1øT   309øH</t>
  </si>
  <si>
    <t>[2021-04-29 10:24:15.261]    07    1øT   290øH</t>
  </si>
  <si>
    <t>[2021-04-29 10:24:15.301]    07    1øT   294øH</t>
  </si>
  <si>
    <t>[2021-04-29 10:24:15.365]    07    1øT   269øH</t>
  </si>
  <si>
    <t>[2021-04-29 10:24:15.434]    07    1øT   258øH</t>
  </si>
  <si>
    <t>[2021-04-29 10:24:15.483]    07    2øT   268øH</t>
  </si>
  <si>
    <t>[2021-04-29 10:24:15.546]    07    2øT   267øH</t>
  </si>
  <si>
    <t>[2021-04-29 10:24:15.610]    07    1øT   274øH</t>
  </si>
  <si>
    <t>[2021-04-29 10:24:15.652]    07    2øT   273øH</t>
  </si>
  <si>
    <t>[2021-04-29 10:24:15.717]    08    1øT   272øH</t>
  </si>
  <si>
    <t>[2021-04-29 10:24:15.786]    08    1øT   221øH</t>
  </si>
  <si>
    <t>[2021-04-29 10:24:15.833]    08    1øT   242øH</t>
  </si>
  <si>
    <t>[2021-04-29 10:24:15.894]    08    2øT   215øH</t>
  </si>
  <si>
    <t>[2021-04-29 10:24:15.963]    08    1øT   289øH</t>
  </si>
  <si>
    <t>[2021-04-29 10:24:16.010]    08    1øT   235øH</t>
  </si>
  <si>
    <t>[2021-04-29 10:24:16.066]    08    1øT   306øH</t>
  </si>
  <si>
    <t>[2021-04-29 10:24:16.139]    08    1øT   268øH</t>
  </si>
  <si>
    <t>[2021-04-29 10:24:16.202]    08    1øT   327øH</t>
  </si>
  <si>
    <t>[2021-04-29 10:24:16.251]    09    1øT   349øH</t>
  </si>
  <si>
    <t>[2021-04-29 10:24:16.314]    09    1øT   347øH</t>
  </si>
  <si>
    <t>[2021-04-29 10:24:16.373]    09    1øT   306øH</t>
  </si>
  <si>
    <t>[2021-04-29 10:24:16.420]    09    2øT   303øH</t>
  </si>
  <si>
    <t>[2021-04-29 10:24:16.488]    09    1øT   347øH</t>
  </si>
  <si>
    <t>[2021-04-29 10:24:16.550]    09    2øT   310øH</t>
  </si>
  <si>
    <t>[2021-04-29 10:24:16.601]    09    1øT   324øH</t>
  </si>
  <si>
    <t>[2021-04-29 10:24:16.665]    09    2øT   327øH</t>
  </si>
  <si>
    <t>[2021-04-29 10:24:16.731]    09    1øT     2øH</t>
  </si>
  <si>
    <t>[2021-04-29 10:24:16.793]    10    1øT    13øH</t>
  </si>
  <si>
    <t>[2021-04-29 10:24:16.837]    10    3øT   341øH</t>
  </si>
  <si>
    <t>[2021-04-29 10:24:16.906]    10    1øT   351øH</t>
  </si>
  <si>
    <t>[2021-04-29 10:24:16.970]    10    2øT   319øH</t>
  </si>
  <si>
    <t>[2021-04-29 10:24:17.017]    10    1øT   350øH</t>
  </si>
  <si>
    <t>[2021-04-29 10:24:17.082]    10    3øT   347øH</t>
  </si>
  <si>
    <t>[2021-04-29 10:24:17.144]    10    2øT   310øH</t>
  </si>
  <si>
    <t>[2021-04-29 10:24:17.208]    10    2øT     4øH</t>
  </si>
  <si>
    <t>[2021-04-29 10:24:17.251]    10    1øT   337øH</t>
  </si>
  <si>
    <t>[2021-04-29 10:24:17.315]    11    1øT   316øH</t>
  </si>
  <si>
    <t>[2021-04-29 10:24:17.385]    11    1øT   352øH</t>
  </si>
  <si>
    <t>[2021-04-29 10:24:17.433]    11    1øT   321øH</t>
  </si>
  <si>
    <t>[2021-04-29 10:24:17.497]    11    1øT   350øH</t>
  </si>
  <si>
    <t>[2021-04-29 10:24:17.561]    11    2øT   328øH</t>
  </si>
  <si>
    <t>[2021-04-29 10:24:17.620]    11    1øT   358øH</t>
  </si>
  <si>
    <t>[2021-04-29 10:24:17.671]    11    2øT   339øH</t>
  </si>
  <si>
    <t>[2021-04-29 10:24:17.735]    11    2øT   316øH</t>
  </si>
  <si>
    <t>[2021-04-29 10:24:17.800]    11    2øT   341øH</t>
  </si>
  <si>
    <t>[2021-04-29 10:24:17.848]    12    2øT   341øH</t>
  </si>
  <si>
    <t>[2021-04-29 10:24:17.914]    12    3øT   345øH</t>
  </si>
  <si>
    <t>[2021-04-29 10:24:17.972]    12    1øT   341øH</t>
  </si>
  <si>
    <t>[2021-04-29 10:24:18.026]    12    3øT   352øH</t>
  </si>
  <si>
    <t>[2021-04-29 10:24:18.083]    12    2øT   349øH</t>
  </si>
  <si>
    <t>[2021-04-29 10:24:18.152]    12    2øT   353øH</t>
  </si>
  <si>
    <t>[2021-04-29 10:24:18.217]    12    1øT   359øH</t>
  </si>
  <si>
    <t>[2021-04-29 10:24:18.264]    12    2øT    15øH</t>
  </si>
  <si>
    <t>[2021-04-29 10:24:18.330]    12    1øT    28øH</t>
  </si>
  <si>
    <t>[2021-04-29 10:24:18.393]    13    1øT    35øH</t>
  </si>
  <si>
    <t>[2021-04-29 10:24:18.451]    13    1øT    12øH</t>
  </si>
  <si>
    <t>[2021-04-29 10:24:18.503]    13    1øT   357øH</t>
  </si>
  <si>
    <t>[2021-04-29 10:24:18.568]    13    1øT     2øH</t>
  </si>
  <si>
    <t>[2021-04-29 10:24:18.631]    13    1øT   357øH</t>
  </si>
  <si>
    <t>[2021-04-29 10:24:18.694]    13    2øT    14øH</t>
  </si>
  <si>
    <t>[2021-04-29 10:24:18.760]    13    2øT     6øH</t>
  </si>
  <si>
    <t>[2021-04-29 10:24:18.825]    13    1øT    24øH</t>
  </si>
  <si>
    <t>[2021-04-29 10:24:18.865]    13    1øT    31øH</t>
  </si>
  <si>
    <t>[2021-04-29 10:24:18.935]    14    1øT    39øH</t>
  </si>
  <si>
    <t>[2021-04-29 10:24:19.000]    14    1øT   353øH</t>
  </si>
  <si>
    <t>[2021-04-29 10:24:19.063]    14    1øT    27øH</t>
  </si>
  <si>
    <t>[2021-04-29 10:24:19.111]    14    1øT   349øH</t>
  </si>
  <si>
    <t>[2021-04-29 10:24:19.169]    14    1øT    13øH</t>
  </si>
  <si>
    <t>[2021-04-29 10:24:19.235]    14    1øT   356øH</t>
  </si>
  <si>
    <t>[2021-04-29 10:24:19.300]    14    1øT   335øH</t>
  </si>
  <si>
    <t>[2021-04-29 10:24:19.350]    14    1øT     8øH</t>
  </si>
  <si>
    <t>[2021-04-29 10:24:19.415]    14    1øT   332øH</t>
  </si>
  <si>
    <t>[2021-04-29 10:24:19.477]    15    1øT     3øH</t>
  </si>
  <si>
    <t>[2021-04-29 10:24:19.542]    15    2øT    21øH</t>
  </si>
  <si>
    <t>[2021-04-29 10:24:19.603]    15    2øT    15øH</t>
  </si>
  <si>
    <t>[2021-04-29 10:24:19.649]    15    2øT    25øH</t>
  </si>
  <si>
    <t>[2021-04-29 10:24:19.718]    15    2øT    34øH</t>
  </si>
  <si>
    <t>[2021-04-29 10:24:19.783]    15    2øT    32øH</t>
  </si>
  <si>
    <t>[2021-04-29 10:24:19.847]    15    2øT    41øH</t>
  </si>
  <si>
    <t>[2021-04-29 10:24:19.909]    15    2øT    29øH</t>
  </si>
  <si>
    <t>[2021-04-29 10:24:19.974]    15    2øT    28øH</t>
  </si>
  <si>
    <t>[2021-04-29 10:24:20.022]    16    1øT     4øH</t>
  </si>
  <si>
    <t>[2021-04-29 10:24:20.085]    16    3øT    11øH</t>
  </si>
  <si>
    <t>[2021-04-29 10:24:20.149]    16    2øT    52øH</t>
  </si>
  <si>
    <t>[2021-04-29 10:24:20.214]    16    2øT    17øH</t>
  </si>
  <si>
    <t>[2021-04-29 10:24:20.277]    16    2øT    31øH</t>
  </si>
  <si>
    <t>[2021-04-29 10:24:20.325]    16    3øT    36øH</t>
  </si>
  <si>
    <t>[2021-04-29 10:24:20.390]    16    3øT    36øH</t>
  </si>
  <si>
    <t>[2021-04-29 10:24:20.453]    16    3øT    39øH</t>
  </si>
  <si>
    <t>[2021-04-29 10:24:20.518]    16    2øT    40øH</t>
  </si>
  <si>
    <t>[2021-04-29 10:24:20.576]    17    2øT    38øH</t>
  </si>
  <si>
    <t>[2021-04-29 10:24:20.632]    17    3øT    33øH</t>
  </si>
  <si>
    <t>[2021-04-29 10:24:20.696]    17    2øT    48øH</t>
  </si>
  <si>
    <t>[2021-04-29 10:24:20.753]    17    2øT    46øH</t>
  </si>
  <si>
    <t>[2021-04-29 10:24:20.822]    17    2øT    39øH</t>
  </si>
  <si>
    <t>[2021-04-29 10:24:20.886]    17    2øT    45øH</t>
  </si>
  <si>
    <t>[2021-04-29 10:24:20.934]    17    2øT    43øH</t>
  </si>
  <si>
    <t>[2021-04-29 10:24:20.998]    17    2øT    57øH</t>
  </si>
  <si>
    <t>[2021-04-29 10:24:21.061]    17    1øT    32øH</t>
  </si>
  <si>
    <t>[2021-04-29 10:24:21.119]    18    1øT    34øH</t>
  </si>
  <si>
    <t>[2021-04-29 10:24:21.186]    18    2øT    63øH</t>
  </si>
  <si>
    <t>[2021-04-29 10:24:21.252]    18    2øT    33øH</t>
  </si>
  <si>
    <t>[2021-04-29 10:24:21.300]    18    2øT    58øH</t>
  </si>
  <si>
    <t>[2021-04-29 10:24:21.365]    18    2øT    36øH</t>
  </si>
  <si>
    <t>[2021-04-29 10:24:21.435]    18    2øT    82øH</t>
  </si>
  <si>
    <t>[2021-04-29 10:24:21.487]    18    2øT    51øH</t>
  </si>
  <si>
    <t>[2021-04-29 10:24:21.557]    18    2øT    74øH</t>
  </si>
  <si>
    <t>[2021-04-29 10:24:21.602]    18    2øT    65øH</t>
  </si>
  <si>
    <t>[2021-04-29 10:24:21.666]    19    1øT    41øH</t>
  </si>
  <si>
    <t>[2021-04-29 10:24:21.733]    19    1øT    80øH</t>
  </si>
  <si>
    <t>[2021-04-29 10:24:21.794]    19    1øT    65øH</t>
  </si>
  <si>
    <t>[2021-04-29 10:24:21.846]    19    1øT   114øH</t>
  </si>
  <si>
    <t>[2021-04-29 10:24:21.909]    19    1øT    68øH</t>
  </si>
  <si>
    <t>[2021-04-29 10:24:21.967]    19    1øT    74øH</t>
  </si>
  <si>
    <t>[2021-04-29 10:24:22.039]    19    1øT    95øH</t>
  </si>
  <si>
    <t>[2021-04-29 10:24:22.101]    19    1øT   108øH</t>
  </si>
  <si>
    <t>[2021-04-29 10:24:22.149]    19    1øT    92øH</t>
  </si>
  <si>
    <t>[2021-04-29 10:24:22.214]    20    1øT    72øH</t>
  </si>
  <si>
    <t>[2021-04-29 10:24:22.277]    20    1øT    58øH</t>
  </si>
  <si>
    <t>[2021-04-29 10:24:22.341]    20    2øT    93øH</t>
  </si>
  <si>
    <t>[2021-04-29 10:24:22.400]    20    1øT    67øH</t>
  </si>
  <si>
    <t>[2021-04-29 10:24:22.453]    20    2øT   116øH</t>
  </si>
  <si>
    <t>[2021-04-29 10:24:22.517]    20    1øT    83øH</t>
  </si>
  <si>
    <t>[2021-04-29 10:24:22.580]    20    2øT   107øH</t>
  </si>
  <si>
    <t>[2021-04-29 10:24:22.639]    20    1øT    79øH</t>
  </si>
  <si>
    <t>[2021-04-29 10:24:22.694]    20    2øT   124øH</t>
  </si>
  <si>
    <t>[2021-04-29 10:24:22.753]    21    1øT   129øH</t>
  </si>
  <si>
    <t>[2021-04-29 10:24:22.818]    21    1øT   134øH</t>
  </si>
  <si>
    <t>[2021-04-29 10:24:22.868]    21    1øT    98øH</t>
  </si>
  <si>
    <t>[2021-04-29 10:24:22.929]    21    1øT   103øH</t>
  </si>
  <si>
    <t>[2021-04-29 10:24:22.993]    21    2øT    93øH</t>
  </si>
  <si>
    <t>[2021-04-29 10:24:23.062]    21    1øT   112øH</t>
  </si>
  <si>
    <t>[2021-04-29 10:24:23.105]    21    1øT    89øH</t>
  </si>
  <si>
    <t>[2021-04-29 10:24:23.166]    21    1øT    59øH</t>
  </si>
  <si>
    <t>[2021-04-29 10:24:23.236]    21    2øT   115øH</t>
  </si>
  <si>
    <t xml:space="preserve">[2021-04-29 10:24:23.252] </t>
  </si>
  <si>
    <t>[2021-04-29 10:24:23.270]  Normal shutdown.</t>
  </si>
  <si>
    <t xml:space="preserve">[2021-04-29 10:24:23.302] </t>
  </si>
  <si>
    <t xml:space="preserve">[2021-04-29 10:24:23.333]  End of instrument data file.        </t>
  </si>
  <si>
    <t xml:space="preserve">[2021-04-29 10:24:23.382] </t>
  </si>
  <si>
    <t xml:space="preserve">[2021-04-29 10:24:23.412]  Terminate file logging operation now          </t>
  </si>
  <si>
    <t>[2021-04-29 10:24:23.488]  and press any key to continue.</t>
  </si>
  <si>
    <t xml:space="preserve">[2021-04-29 10:24:28.133] </t>
  </si>
  <si>
    <t xml:space="preserve">[2021-04-29 10:24:28.145] </t>
  </si>
  <si>
    <t>[2021-04-29 10:24:28.145] _______________________________________________________</t>
  </si>
  <si>
    <t xml:space="preserve">[2021-04-29 10:24:28.210] </t>
  </si>
  <si>
    <t xml:space="preserve">[2021-04-29 10:24:28.210]               </t>
  </si>
  <si>
    <t xml:space="preserve">[2021-04-29 10:24:28.226] </t>
  </si>
  <si>
    <t xml:space="preserve">[2021-04-29 10:24:28.273] </t>
  </si>
  <si>
    <t xml:space="preserve">[2021-04-29 10:24:28.336] </t>
  </si>
  <si>
    <t xml:space="preserve">[2021-04-29 10:24:28.399] </t>
  </si>
  <si>
    <t xml:space="preserve">[2021-04-29 10:24:28.449] </t>
  </si>
  <si>
    <t xml:space="preserve">[2021-04-29 10:24:28.480] </t>
  </si>
  <si>
    <t xml:space="preserve">[2021-04-29 10:24:28.544] </t>
  </si>
  <si>
    <t xml:space="preserve">[2021-04-29 10:24:28.616] </t>
  </si>
  <si>
    <t xml:space="preserve">[2021-04-29 10:24:28.881] </t>
  </si>
  <si>
    <t xml:space="preserve">      Thu Apr 29 00:03:46 2021</t>
  </si>
  <si>
    <t xml:space="preserve">[2021-04-29 10:24:28.913] </t>
  </si>
  <si>
    <t xml:space="preserve">[2021-04-29 10:24:28.958] </t>
  </si>
  <si>
    <t xml:space="preserve">[2021-04-29 10:24:29.051] </t>
  </si>
  <si>
    <t xml:space="preserve">[2021-04-29 10:24:29.164] </t>
  </si>
  <si>
    <t xml:space="preserve">[2021-04-29 10:24:29.262] </t>
  </si>
  <si>
    <t xml:space="preserve">[2021-04-29 10:24:29.312] </t>
  </si>
  <si>
    <t xml:space="preserve">[2021-04-29 10:24:29.328] </t>
  </si>
  <si>
    <t xml:space="preserve">  Selection  ? 4</t>
  </si>
  <si>
    <t xml:space="preserve">[2021-04-29 10:24:31.149] </t>
  </si>
  <si>
    <t>[2021-04-29 10:24:31.248]  04/29/2021 00:03:50 Sleeping . . .</t>
  </si>
  <si>
    <t>2000m</t>
  </si>
  <si>
    <t xml:space="preserve">[2021-04-29 10:13:30.382] </t>
  </si>
  <si>
    <t>[2021-04-29 10:13:30.382] _______________________________________________________</t>
  </si>
  <si>
    <t xml:space="preserve">[2021-04-29 10:13:30.436] </t>
  </si>
  <si>
    <t xml:space="preserve">[2021-04-29 10:13:30.436]               </t>
  </si>
  <si>
    <t xml:space="preserve">[2021-04-29 10:13:30.452] </t>
  </si>
  <si>
    <t xml:space="preserve">[2021-04-29 10:13:30.519] </t>
  </si>
  <si>
    <t xml:space="preserve">[2021-04-29 10:13:30.575] </t>
  </si>
  <si>
    <t xml:space="preserve">[2021-04-29 10:13:30.638] </t>
  </si>
  <si>
    <t xml:space="preserve">Version: PST-21C5.c   S/N: ML12419-02            </t>
  </si>
  <si>
    <t xml:space="preserve">[2021-04-29 10:13:30.702] </t>
  </si>
  <si>
    <t xml:space="preserve">[2021-04-29 10:13:30.718] </t>
  </si>
  <si>
    <t xml:space="preserve">[2021-04-29 10:13:30.776] </t>
  </si>
  <si>
    <t xml:space="preserve">[2021-04-29 10:13:30.852] </t>
  </si>
  <si>
    <t xml:space="preserve">[2021-04-29 10:13:31.118] </t>
  </si>
  <si>
    <t xml:space="preserve">      Wed Apr 28 23:53:04 2021</t>
  </si>
  <si>
    <t xml:space="preserve">[2021-04-29 10:13:31.150] </t>
  </si>
  <si>
    <t xml:space="preserve">[2021-04-29 10:13:31.193] </t>
  </si>
  <si>
    <t xml:space="preserve">[2021-04-29 10:13:31.291] </t>
  </si>
  <si>
    <t xml:space="preserve">[2021-04-29 10:13:31.406] </t>
  </si>
  <si>
    <t xml:space="preserve">[2021-04-29 10:13:31.488] </t>
  </si>
  <si>
    <t xml:space="preserve">[2021-04-29 10:13:31.550] </t>
  </si>
  <si>
    <t xml:space="preserve">[2021-04-29 10:13:31.554] </t>
  </si>
  <si>
    <t xml:space="preserve">[2021-04-29 10:13:38.952] </t>
  </si>
  <si>
    <t>[2021-04-29 10:13:39.001]  Press any key to pause/continue display, &lt;X&gt; to exit</t>
  </si>
  <si>
    <t xml:space="preserve">[2021-04-29 10:13:39.064] </t>
  </si>
  <si>
    <t>[2021-04-29 10:13:40.902]   04/28/2021 23:53:13   17.3 Vb    19øC   2øT  259øH  aligned</t>
  </si>
  <si>
    <t>[2021-04-29 10:13:42.885]   04/28/2021 23:53:15   17.3 Vb    19øC   2øT  264øH  aligned</t>
  </si>
  <si>
    <t>[2021-04-29 10:13:44.820]   04/28/2021 23:53:17   17.2 Vb    19øC   2øT  263øH  aligned</t>
  </si>
  <si>
    <t>[2021-04-29 10:13:46.802]   04/28/2021 23:53:19   17.1 Vb    19øC   2øT  262øH  aligned</t>
  </si>
  <si>
    <t>[2021-04-29 10:13:48.738]   04/28/2021 23:53:21   17.1 Vb    19øC   2øT  258øH  aligned</t>
  </si>
  <si>
    <t>[2021-04-29 10:13:50.719]   04/28/2021 23:53:23   17.1 Vb    19øC   2øT  261øH  aligned</t>
  </si>
  <si>
    <t>[2021-04-29 10:13:52.654]   04/28/2021 23:53:25   17.0 Vb    19øC   2øT  263øH  aligned</t>
  </si>
  <si>
    <t xml:space="preserve">[2021-04-29 10:13:52.731] </t>
  </si>
  <si>
    <t xml:space="preserve">[2021-04-29 10:13:52.781]  Battery voltage is abnormally low.  Check/replace            </t>
  </si>
  <si>
    <t>[2021-04-29 10:13:52.893]  main battery pack before deploying system.</t>
  </si>
  <si>
    <t xml:space="preserve">[2021-04-29 10:13:52.957]           </t>
  </si>
  <si>
    <t xml:space="preserve">[2021-04-29 10:13:52.973] </t>
  </si>
  <si>
    <t>[2021-04-29 10:13:52.990]  Press any key to continue.</t>
  </si>
  <si>
    <t xml:space="preserve">[2021-04-29 10:13:58.172] </t>
  </si>
  <si>
    <t>[2021-04-29 10:13:58.172] _______________________________________________________</t>
  </si>
  <si>
    <t xml:space="preserve">[2021-04-29 10:13:58.236] </t>
  </si>
  <si>
    <t xml:space="preserve">[2021-04-29 10:13:58.236]               </t>
  </si>
  <si>
    <t xml:space="preserve">[2021-04-29 10:13:58.253] </t>
  </si>
  <si>
    <t xml:space="preserve">[2021-04-29 10:13:58.325] </t>
  </si>
  <si>
    <t xml:space="preserve">[2021-04-29 10:13:58.365] </t>
  </si>
  <si>
    <t xml:space="preserve">[2021-04-29 10:13:58.427] </t>
  </si>
  <si>
    <t xml:space="preserve">[2021-04-29 10:13:58.492] </t>
  </si>
  <si>
    <t xml:space="preserve">[2021-04-29 10:13:58.507] </t>
  </si>
  <si>
    <t xml:space="preserve">[2021-04-29 10:13:58.571] </t>
  </si>
  <si>
    <t xml:space="preserve">[2021-04-29 10:13:58.644] </t>
  </si>
  <si>
    <t xml:space="preserve">[2021-04-29 10:13:58.908] </t>
  </si>
  <si>
    <t xml:space="preserve">      Wed Apr 28 23:53:32 2021</t>
  </si>
  <si>
    <t xml:space="preserve">[2021-04-29 10:13:58.940] </t>
  </si>
  <si>
    <t xml:space="preserve">[2021-04-29 10:13:58.985] </t>
  </si>
  <si>
    <t xml:space="preserve">[2021-04-29 10:13:59.093] </t>
  </si>
  <si>
    <t xml:space="preserve">[2021-04-29 10:13:59.194] </t>
  </si>
  <si>
    <t xml:space="preserve">[2021-04-29 10:13:59.290] </t>
  </si>
  <si>
    <t xml:space="preserve">[2021-04-29 10:13:59.339] </t>
  </si>
  <si>
    <t xml:space="preserve">[2021-04-29 10:13:59.354] </t>
  </si>
  <si>
    <t xml:space="preserve">[2021-04-29 10:14:02.026] </t>
  </si>
  <si>
    <t xml:space="preserve">[2021-04-29 10:14:02.039] </t>
  </si>
  <si>
    <t xml:space="preserve">[2021-04-29 10:14:02.097] </t>
  </si>
  <si>
    <t xml:space="preserve">[2021-04-29 10:14:02.160] </t>
  </si>
  <si>
    <t xml:space="preserve">[2021-04-29 10:14:02.390] </t>
  </si>
  <si>
    <t xml:space="preserve">     Wed Apr 28 23:53:36 2021</t>
  </si>
  <si>
    <t xml:space="preserve">[2021-04-29 10:14:02.440] </t>
  </si>
  <si>
    <t xml:space="preserve">[2021-04-29 10:14:02.456] </t>
  </si>
  <si>
    <t xml:space="preserve">[2021-04-29 10:14:02.512] </t>
  </si>
  <si>
    <t xml:space="preserve">[2021-04-29 10:14:02.578] </t>
  </si>
  <si>
    <t xml:space="preserve">[2021-04-29 10:14:02.646] </t>
  </si>
  <si>
    <t xml:space="preserve">[2021-04-29 10:14:02.695] </t>
  </si>
  <si>
    <t xml:space="preserve">[2021-04-29 10:14:02.713] </t>
  </si>
  <si>
    <t xml:space="preserve">[2021-04-29 10:14:02.727] </t>
  </si>
  <si>
    <t xml:space="preserve">[2021-04-29 10:16:26.988] </t>
  </si>
  <si>
    <t xml:space="preserve">[2021-04-29 10:16:27.035]  To copy the instrument data file to a disk file, initiate          </t>
  </si>
  <si>
    <t xml:space="preserve">[2021-04-29 10:16:27.157]  your communication program's file logging command now and          </t>
  </si>
  <si>
    <t xml:space="preserve">[2021-04-29 10:16:27.302]  then press any key to start the transfer.  The instrument          </t>
  </si>
  <si>
    <t xml:space="preserve">[2021-04-29 10:16:27.433]  data file will remain resident and is not erased by this          </t>
  </si>
  <si>
    <t>[2021-04-29 10:16:27.508]  offload procedure.</t>
  </si>
  <si>
    <t xml:space="preserve">[2021-04-29 10:16:27.548] </t>
  </si>
  <si>
    <t xml:space="preserve">[2021-04-29 10:16:38.036] </t>
  </si>
  <si>
    <t xml:space="preserve">[2021-04-29 10:16:38.036]  Software version:  PST-21C5.c          </t>
  </si>
  <si>
    <t>[2021-04-29 10:16:38.098]  Compiled:          Mar 13 2007 14:22:06</t>
  </si>
  <si>
    <t>[2021-04-29 10:16:38.163]  Electronics S/N:   ML12419-02</t>
  </si>
  <si>
    <t xml:space="preserve">[2021-04-29 10:16:38.195] </t>
  </si>
  <si>
    <t>[2021-04-29 10:16:38.476]  Data recording start time = 08/14/2020 00:36:10</t>
  </si>
  <si>
    <t>[2021-04-29 10:16:38.834]  Data recording stop time  = 04/06/2021 00:00:31</t>
  </si>
  <si>
    <t xml:space="preserve">[2021-04-29 10:16:38.883] </t>
  </si>
  <si>
    <t>[2021-04-29 10:16:38.901]  HEADER</t>
  </si>
  <si>
    <t>[2021-04-29 10:16:38.917]  ______</t>
  </si>
  <si>
    <t xml:space="preserve">[2021-04-29 10:16:38.931] </t>
  </si>
  <si>
    <t>[2021-04-29 10:16:38.931]  SAZ22_2020_2000m_ML12419_02_Tilt</t>
  </si>
  <si>
    <t xml:space="preserve">[2021-04-29 10:16:38.979] </t>
  </si>
  <si>
    <t>[2021-04-29 10:16:38.979]  SCHEDULE</t>
  </si>
  <si>
    <t>[2021-04-29 10:16:39.010]  ________</t>
  </si>
  <si>
    <t xml:space="preserve">[2021-04-29 10:16:39.026] </t>
  </si>
  <si>
    <t>[2021-04-29 10:16:39.331]  Event 01 of 22 @ 09/08/2020 00:00:00</t>
  </si>
  <si>
    <t>[2021-04-29 10:16:39.667]  Event 02 of 22 @ 09/18/2020 00:00:00</t>
  </si>
  <si>
    <t>[2021-04-29 10:16:40.012]  Event 03 of 22 @ 09/28/2020 00:00:00</t>
  </si>
  <si>
    <t>[2021-04-29 10:16:40.352]  Event 04 of 22 @ 10/08/2020 00:00:00</t>
  </si>
  <si>
    <t>[2021-04-29 10:16:40.701]  Event 05 of 22 @ 10/18/2020 00:00:00</t>
  </si>
  <si>
    <t>[2021-04-29 10:16:41.059]  Event 06 of 22 @ 10/28/2020 00:00:00</t>
  </si>
  <si>
    <t>[2021-04-29 10:16:41.391]  Event 07 of 22 @ 11/07/2020 00:00:00</t>
  </si>
  <si>
    <t>[2021-04-29 10:16:41.745]  Event 08 of 22 @ 11/17/2020 00:00:00</t>
  </si>
  <si>
    <t>[2021-04-29 10:16:42.074]  Event 09 of 22 @ 11/27/2020 00:00:00</t>
  </si>
  <si>
    <t>[2021-04-29 10:16:42.431]  Event 10 of 22 @ 12/07/2020 00:00:00</t>
  </si>
  <si>
    <t>[2021-04-29 10:16:42.781]  Event 11 of 22 @ 12/17/2020 00:00:00</t>
  </si>
  <si>
    <t>[2021-04-29 10:16:43.120]  Event 12 of 22 @ 12/27/2020 00:00:00</t>
  </si>
  <si>
    <t>[2021-04-29 10:16:43.472]  Event 13 of 22 @ 01/06/2021 00:00:00</t>
  </si>
  <si>
    <t>[2021-04-29 10:16:43.806]  Event 14 of 22 @ 01/16/2021 00:00:00</t>
  </si>
  <si>
    <t>[2021-04-29 10:16:44.157]  Event 15 of 22 @ 01/26/2021 00:00:00</t>
  </si>
  <si>
    <t>[2021-04-29 10:16:44.493]  Event 16 of 22 @ 02/05/2021 00:00:00</t>
  </si>
  <si>
    <t>[2021-04-29 10:16:44.844]  Event 17 of 22 @ 02/15/2021 00:00:00</t>
  </si>
  <si>
    <t>[2021-04-29 10:16:45.177]  Event 18 of 22 @ 02/25/2021 00:00:00</t>
  </si>
  <si>
    <t>[2021-04-29 10:16:45.534]  Event 19 of 22 @ 03/07/2021 00:00:00</t>
  </si>
  <si>
    <t>[2021-04-29 10:16:45.868]  Event 20 of 22 @ 03/17/2021 00:00:00</t>
  </si>
  <si>
    <t>[2021-04-29 10:16:46.220]  Event 21 of 22 @ 03/27/2021 00:00:00</t>
  </si>
  <si>
    <t>[2021-04-29 10:16:46.552]  Event 22 of 22 @ 04/06/2021 00:00:00</t>
  </si>
  <si>
    <t xml:space="preserve">[2021-04-29 10:16:46.605] </t>
  </si>
  <si>
    <t>[2021-04-29 10:16:46.620]  DEPLOYMENT DATA</t>
  </si>
  <si>
    <t>[2021-04-29 10:16:46.652]  _______________</t>
  </si>
  <si>
    <t xml:space="preserve">[2021-04-29 10:16:46.685] </t>
  </si>
  <si>
    <t>[2021-04-29 10:16:46.685]  Event 01</t>
  </si>
  <si>
    <t xml:space="preserve">[2021-04-29 10:16:46.702] </t>
  </si>
  <si>
    <t>[2021-04-29 10:16:47.003]  Scheduled start time:  09/08/2020 00:00:00</t>
  </si>
  <si>
    <t>[2021-04-29 10:16:47.354]  Event start time:      09/08/2020 00:00:00</t>
  </si>
  <si>
    <t>[2021-04-29 10:16:47.706]  Event stop time:       09/08/2020 00:00:28</t>
  </si>
  <si>
    <t xml:space="preserve">[2021-04-29 10:16:47.756] </t>
  </si>
  <si>
    <t>[2021-04-29 10:16:47.803]          Aligned  Battery  Temperature  Tilt  Heading</t>
  </si>
  <si>
    <t>[2021-04-29 10:16:47.960]  Start:     Y       18.6        3øC       2ø    243ø</t>
  </si>
  <si>
    <t>[2021-04-29 10:16:48.119]  Stop:      Y       18.3        3øC       2ø    241ø</t>
  </si>
  <si>
    <t xml:space="preserve">[2021-04-29 10:16:48.187] </t>
  </si>
  <si>
    <t>[2021-04-29 10:16:48.187]  Event 02</t>
  </si>
  <si>
    <t xml:space="preserve">[2021-04-29 10:16:48.203] </t>
  </si>
  <si>
    <t>[2021-04-29 10:16:48.505]  Scheduled start time:  09/18/2020 00:00:00</t>
  </si>
  <si>
    <t>[2021-04-29 10:16:48.856]  Event start time:      09/18/2020 00:00:00</t>
  </si>
  <si>
    <t>[2021-04-29 10:16:49.207]  Event stop time:       09/18/2020 00:00:28</t>
  </si>
  <si>
    <t xml:space="preserve">[2021-04-29 10:16:49.257] </t>
  </si>
  <si>
    <t>[2021-04-29 10:16:49.305]          Aligned  Battery  Temperature  Tilt  Heading</t>
  </si>
  <si>
    <t>[2021-04-29 10:16:49.467]  Start:     Y       18.5        3øC       2ø    224ø</t>
  </si>
  <si>
    <t>[2021-04-29 10:16:49.625]  Stop:      Y       18.1        3øC       2ø    219ø</t>
  </si>
  <si>
    <t xml:space="preserve">[2021-04-29 10:16:49.690] </t>
  </si>
  <si>
    <t>[2021-04-29 10:16:49.690]  Event 03</t>
  </si>
  <si>
    <t xml:space="preserve">[2021-04-29 10:16:49.707] </t>
  </si>
  <si>
    <t>[2021-04-29 10:16:50.009]  Scheduled start time:  09/28/2020 00:00:00</t>
  </si>
  <si>
    <t>[2021-04-29 10:16:50.362]  Event start time:      09/28/2020 00:00:00</t>
  </si>
  <si>
    <t>[2021-04-29 10:16:50.713]  Event stop time:       09/28/2020 00:00:28</t>
  </si>
  <si>
    <t xml:space="preserve">[2021-04-29 10:16:50.762] </t>
  </si>
  <si>
    <t>[2021-04-29 10:16:50.808]          Aligned  Battery  Temperature  Tilt  Heading</t>
  </si>
  <si>
    <t>[2021-04-29 10:16:50.971]  Start:     Y       18.4        3øC       2ø    158ø</t>
  </si>
  <si>
    <t>[2021-04-29 10:16:51.130]  Stop:      Y       17.9        3øC       2ø    152ø</t>
  </si>
  <si>
    <t xml:space="preserve">[2021-04-29 10:16:51.193] </t>
  </si>
  <si>
    <t>[2021-04-29 10:16:51.193]  Event 04</t>
  </si>
  <si>
    <t xml:space="preserve">[2021-04-29 10:16:51.209] </t>
  </si>
  <si>
    <t>[2021-04-29 10:16:51.515]  Scheduled start time:  10/08/2020 00:00:00</t>
  </si>
  <si>
    <t>[2021-04-29 10:16:51.864]  Event start time:      10/08/2020 00:00:00</t>
  </si>
  <si>
    <t>[2021-04-29 10:16:52.215]  Event stop time:       10/08/2020 00:00:28</t>
  </si>
  <si>
    <t xml:space="preserve">[2021-04-29 10:16:52.281] </t>
  </si>
  <si>
    <t>[2021-04-29 10:16:52.310]          Aligned  Battery  Temperature  Tilt  Heading</t>
  </si>
  <si>
    <t>[2021-04-29 10:16:52.484]  Start:     Y       18.2        3øC       2ø      8ø</t>
  </si>
  <si>
    <t>[2021-04-29 10:16:52.642]  Stop:      Y       17.8        3øC       2ø      2ø</t>
  </si>
  <si>
    <t xml:space="preserve">[2021-04-29 10:16:52.697] </t>
  </si>
  <si>
    <t>[2021-04-29 10:16:52.704]  Event 05</t>
  </si>
  <si>
    <t xml:space="preserve">[2021-04-29 10:16:52.730] </t>
  </si>
  <si>
    <t>[2021-04-29 10:16:53.033]  Scheduled start time:  10/18/2020 00:00:00</t>
  </si>
  <si>
    <t>[2021-04-29 10:16:53.383]  Event start time:      10/18/2020 00:00:00</t>
  </si>
  <si>
    <t>[2021-04-29 10:16:53.736]  Event stop time:       10/18/2020 00:00:28</t>
  </si>
  <si>
    <t xml:space="preserve">[2021-04-29 10:16:53.784] </t>
  </si>
  <si>
    <t>[2021-04-29 10:16:53.829]          Aligned  Battery  Temperature  Tilt  Heading</t>
  </si>
  <si>
    <t>[2021-04-29 10:16:53.990]  Start:     Y       18.1        3øC       2ø    238ø</t>
  </si>
  <si>
    <t>[2021-04-29 10:16:54.149]  Stop:      Y       17.7        3øC       2ø    230ø</t>
  </si>
  <si>
    <t xml:space="preserve">[2021-04-29 10:16:54.200] </t>
  </si>
  <si>
    <t>[2021-04-29 10:16:54.207]  Event 06</t>
  </si>
  <si>
    <t xml:space="preserve">[2021-04-29 10:16:54.230] </t>
  </si>
  <si>
    <t>[2021-04-29 10:16:54.531]  Scheduled start time:  10/28/2020 00:00:00</t>
  </si>
  <si>
    <t>[2021-04-29 10:16:54.885]  Event start time:      10/28/2020 00:00:00</t>
  </si>
  <si>
    <t>[2021-04-29 10:16:55.239]  Event stop time:       10/28/2020 00:00:28</t>
  </si>
  <si>
    <t xml:space="preserve">[2021-04-29 10:16:55.286] </t>
  </si>
  <si>
    <t>[2021-04-29 10:16:55.334]          Aligned  Battery  Temperature  Tilt  Heading</t>
  </si>
  <si>
    <t>[2021-04-29 10:16:55.494]  Start:     Y       18.1        3øC       2ø    211ø</t>
  </si>
  <si>
    <t>[2021-04-29 10:16:55.649]  Stop:      Y       17.7        3øC       2ø    212ø</t>
  </si>
  <si>
    <t xml:space="preserve">[2021-04-29 10:16:55.722] </t>
  </si>
  <si>
    <t>[2021-04-29 10:16:55.722]  Event 07</t>
  </si>
  <si>
    <t xml:space="preserve">[2021-04-29 10:16:55.733] </t>
  </si>
  <si>
    <t>[2021-04-29 10:16:56.038]  Scheduled start time:  11/07/2020 00:00:00</t>
  </si>
  <si>
    <t>[2021-04-29 10:16:56.388]  Event start time:      11/07/2020 00:00:00</t>
  </si>
  <si>
    <t>[2021-04-29 10:16:56.740]  Event stop time:       11/07/2020 00:00:28</t>
  </si>
  <si>
    <t xml:space="preserve">[2021-04-29 10:16:56.790] </t>
  </si>
  <si>
    <t>[2021-04-29 10:16:56.837]          Aligned  Battery  Temperature  Tilt  Heading</t>
  </si>
  <si>
    <t>[2021-04-29 10:16:56.996]  Start:     Y       18.0        3øC       2ø    223ø</t>
  </si>
  <si>
    <t>[2021-04-29 10:16:57.157]  Stop:      Y       17.6        3øC       2ø    222ø</t>
  </si>
  <si>
    <t xml:space="preserve">[2021-04-29 10:16:57.221] </t>
  </si>
  <si>
    <t>[2021-04-29 10:16:57.221]  Event 08</t>
  </si>
  <si>
    <t xml:space="preserve">[2021-04-29 10:16:57.237] </t>
  </si>
  <si>
    <t>[2021-04-29 10:16:57.540]  Scheduled start time:  11/17/2020 00:00:00</t>
  </si>
  <si>
    <t>[2021-04-29 10:16:57.890]  Event start time:      11/17/2020 00:00:00</t>
  </si>
  <si>
    <t>[2021-04-29 10:16:58.243]  Event stop time:       11/17/2020 00:00:28</t>
  </si>
  <si>
    <t xml:space="preserve">[2021-04-29 10:16:58.293] </t>
  </si>
  <si>
    <t>[2021-04-29 10:16:58.335]          Aligned  Battery  Temperature  Tilt  Heading</t>
  </si>
  <si>
    <t>[2021-04-29 10:16:58.503]  Start:     Y       17.9        3øC       2ø    184ø</t>
  </si>
  <si>
    <t>[2021-04-29 10:16:58.659]  Stop:      Y       17.5        3øC       2ø    179ø</t>
  </si>
  <si>
    <t xml:space="preserve">[2021-04-29 10:16:58.725] </t>
  </si>
  <si>
    <t>[2021-04-29 10:16:58.725]  Event 09</t>
  </si>
  <si>
    <t xml:space="preserve">[2021-04-29 10:16:58.741] </t>
  </si>
  <si>
    <t>[2021-04-29 10:16:59.037]  Scheduled start time:  11/27/2020 00:00:00</t>
  </si>
  <si>
    <t>[2021-04-29 10:16:59.396]  Event start time:      11/27/2020 00:00:00</t>
  </si>
  <si>
    <t>[2021-04-29 10:16:59.746]  Event stop time:       11/27/2020 00:00:28</t>
  </si>
  <si>
    <t xml:space="preserve">[2021-04-29 10:16:59.812] </t>
  </si>
  <si>
    <t>[2021-04-29 10:16:59.843]          Aligned  Battery  Temperature  Tilt  Heading</t>
  </si>
  <si>
    <t>[2021-04-29 10:17:00.002]  Start:     Y       17.8        3øC       2ø    229ø</t>
  </si>
  <si>
    <t>[2021-04-29 10:17:00.164]  Stop:      Y       17.4        3øC       2ø    226ø</t>
  </si>
  <si>
    <t xml:space="preserve">[2021-04-29 10:17:00.226] </t>
  </si>
  <si>
    <t>[2021-04-29 10:17:00.226]  Event 10</t>
  </si>
  <si>
    <t xml:space="preserve">[2021-04-29 10:17:00.243] </t>
  </si>
  <si>
    <t>[2021-04-29 10:17:00.545]  Scheduled start time:  12/07/2020 00:00:00</t>
  </si>
  <si>
    <t>[2021-04-29 10:17:00.900]  Event start time:      12/07/2020 00:00:00</t>
  </si>
  <si>
    <t>[2021-04-29 10:17:01.249]  Event stop time:       12/07/2020 00:00:28</t>
  </si>
  <si>
    <t xml:space="preserve">[2021-04-29 10:17:01.316] </t>
  </si>
  <si>
    <t>[2021-04-29 10:17:01.359]          Aligned  Battery  Temperature  Tilt  Heading</t>
  </si>
  <si>
    <t>[2021-04-29 10:17:01.502]  Start:     Y       17.8        3øC       2ø    267ø</t>
  </si>
  <si>
    <t>[2021-04-29 10:17:01.664]  Stop:      Y       17.3        3øC       2ø    263ø</t>
  </si>
  <si>
    <t xml:space="preserve">[2021-04-29 10:17:01.730] </t>
  </si>
  <si>
    <t>[2021-04-29 10:17:01.746]  Event 11</t>
  </si>
  <si>
    <t xml:space="preserve">[2021-04-29 10:17:01.746] </t>
  </si>
  <si>
    <t>[2021-04-29 10:17:02.050]  Scheduled start time:  12/17/2020 00:00:00</t>
  </si>
  <si>
    <t>[2021-04-29 10:17:02.417]  Event start time:      12/17/2020 00:00:00</t>
  </si>
  <si>
    <t>[2021-04-29 10:17:02.764]  Event stop time:       12/17/2020 00:00:28</t>
  </si>
  <si>
    <t xml:space="preserve">[2021-04-29 10:17:02.817] </t>
  </si>
  <si>
    <t>[2021-04-29 10:17:02.864]          Aligned  Battery  Temperature  Tilt  Heading</t>
  </si>
  <si>
    <t>[2021-04-29 10:17:03.024]  Start:     Y       17.7        3øC       2ø    275ø</t>
  </si>
  <si>
    <t>[2021-04-29 10:17:03.163]  Stop:      Y       17.3        3øC       2ø    278ø</t>
  </si>
  <si>
    <t xml:space="preserve">[2021-04-29 10:17:03.232] </t>
  </si>
  <si>
    <t>[2021-04-29 10:17:03.249]  Event 12</t>
  </si>
  <si>
    <t xml:space="preserve">[2021-04-29 10:17:03.267] </t>
  </si>
  <si>
    <t>[2021-04-29 10:17:03.566]  Scheduled start time:  12/27/2020 00:00:00</t>
  </si>
  <si>
    <t>[2021-04-29 10:17:03.922]  Event start time:      12/27/2020 00:00:00</t>
  </si>
  <si>
    <t>[2021-04-29 10:17:04.270]  Event stop time:       12/27/2020 00:00:28</t>
  </si>
  <si>
    <t xml:space="preserve">[2021-04-29 10:17:04.320] </t>
  </si>
  <si>
    <t>[2021-04-29 10:17:04.360]          Aligned  Battery  Temperature  Tilt  Heading</t>
  </si>
  <si>
    <t>[2021-04-29 10:17:04.530]  Start:     Y       17.6        3øC       2ø    285ø</t>
  </si>
  <si>
    <t>[2021-04-29 10:17:04.688]  Stop:      Y       17.2        3øC       2ø    281ø</t>
  </si>
  <si>
    <t xml:space="preserve">[2021-04-29 10:17:04.737] </t>
  </si>
  <si>
    <t>[2021-04-29 10:17:04.750]  Event 13</t>
  </si>
  <si>
    <t xml:space="preserve">[2021-04-29 10:17:04.767] </t>
  </si>
  <si>
    <t>[2021-04-29 10:17:05.070]  Scheduled start time:  01/06/2021 00:00:00</t>
  </si>
  <si>
    <t>[2021-04-29 10:17:05.422]  Event start time:      01/06/2021 00:00:00</t>
  </si>
  <si>
    <t>[2021-04-29 10:17:05.773]  Event stop time:       01/06/2021 00:00:28</t>
  </si>
  <si>
    <t xml:space="preserve">[2021-04-29 10:17:05.823] </t>
  </si>
  <si>
    <t>[2021-04-29 10:17:05.868]          Aligned  Battery  Temperature  Tilt  Heading</t>
  </si>
  <si>
    <t>[2021-04-29 10:17:06.029]  Start:     Y       17.6        3øC       2ø    299ø</t>
  </si>
  <si>
    <t>[2021-04-29 10:17:06.174]  Stop:      Y       17.1        3øC       2ø    292ø</t>
  </si>
  <si>
    <t xml:space="preserve">[2021-04-29 10:17:06.238] </t>
  </si>
  <si>
    <t>[2021-04-29 10:17:06.256]  Event 14</t>
  </si>
  <si>
    <t xml:space="preserve">[2021-04-29 10:17:06.271] </t>
  </si>
  <si>
    <t>[2021-04-29 10:17:06.557]  Scheduled start time:  01/16/2021 00:00:00</t>
  </si>
  <si>
    <t>[2021-04-29 10:17:06.908]  Event start time:      01/16/2021 00:00:00</t>
  </si>
  <si>
    <t>[2021-04-29 10:17:07.261]  Event stop time:       01/16/2021 00:00:28</t>
  </si>
  <si>
    <t xml:space="preserve">[2021-04-29 10:17:07.326] </t>
  </si>
  <si>
    <t>[2021-04-29 10:17:07.356]          Aligned  Battery  Temperature  Tilt  Heading</t>
  </si>
  <si>
    <t>[2021-04-29 10:17:07.514]  Start:     Y       17.5        3øC       2ø    307ø</t>
  </si>
  <si>
    <t>[2021-04-29 10:17:07.672]  Stop:      Y       17.0        3øC       2ø    303ø</t>
  </si>
  <si>
    <t xml:space="preserve">[2021-04-29 10:17:07.742] </t>
  </si>
  <si>
    <t>[2021-04-29 10:17:07.756]  Event 15</t>
  </si>
  <si>
    <t xml:space="preserve">[2021-04-29 10:17:07.756] </t>
  </si>
  <si>
    <t>[2021-04-29 10:17:08.061]  Scheduled start time:  01/26/2021 00:00:00</t>
  </si>
  <si>
    <t>[2021-04-29 10:17:08.412]  Event start time:      01/26/2021 00:00:00</t>
  </si>
  <si>
    <t>[2021-04-29 10:17:08.764]  Event stop time:       01/26/2021 00:00:28</t>
  </si>
  <si>
    <t xml:space="preserve">[2021-04-29 10:17:08.815] </t>
  </si>
  <si>
    <t>[2021-04-29 10:17:08.854]          Aligned  Battery  Temperature  Tilt  Heading</t>
  </si>
  <si>
    <t>[2021-04-29 10:17:09.020]  Start:     Y       17.4        3øC       2ø    283ø</t>
  </si>
  <si>
    <t>[2021-04-29 10:17:09.179]  Stop:      Y       16.9        3øC       2ø    281ø</t>
  </si>
  <si>
    <t xml:space="preserve">[2021-04-29 10:17:09.243] </t>
  </si>
  <si>
    <t>[2021-04-29 10:17:09.243]  Event 16</t>
  </si>
  <si>
    <t xml:space="preserve">[2021-04-29 10:17:09.261] </t>
  </si>
  <si>
    <t>[2021-04-29 10:17:09.564]  Scheduled start time:  02/05/2021 00:00:00</t>
  </si>
  <si>
    <t>[2021-04-29 10:17:09.914]  Event start time:      02/05/2021 00:00:00</t>
  </si>
  <si>
    <t>[2021-04-29 10:17:10.266]  Event stop time:       02/05/2021 00:00:28</t>
  </si>
  <si>
    <t xml:space="preserve">[2021-04-29 10:17:10.315] </t>
  </si>
  <si>
    <t>[2021-04-29 10:17:10.355]          Aligned  Battery  Temperature  Tilt  Heading</t>
  </si>
  <si>
    <t>[2021-04-29 10:17:10.524]  Start:     Y       17.3        3øC       2ø    335ø</t>
  </si>
  <si>
    <t>[2021-04-29 10:17:10.678]  Stop:      Y       16.9        3øC       2ø    333ø</t>
  </si>
  <si>
    <t xml:space="preserve">[2021-04-29 10:17:10.747] </t>
  </si>
  <si>
    <t>[2021-04-29 10:17:10.747]  Event 17</t>
  </si>
  <si>
    <t xml:space="preserve">[2021-04-29 10:17:10.766] </t>
  </si>
  <si>
    <t>[2021-04-29 10:17:11.066]  Scheduled start time:  02/15/2021 00:00:00</t>
  </si>
  <si>
    <t>[2021-04-29 10:17:11.414]  Event start time:      02/15/2021 00:00:00</t>
  </si>
  <si>
    <t>[2021-04-29 10:17:11.769]  Event stop time:       02/15/2021 00:00:28</t>
  </si>
  <si>
    <t xml:space="preserve">[2021-04-29 10:17:11.820] </t>
  </si>
  <si>
    <t>[2021-04-29 10:17:11.859]          Aligned  Battery  Temperature  Tilt  Heading</t>
  </si>
  <si>
    <t>[2021-04-29 10:17:12.024]  Start:     Y       17.2        3øC       3ø    359ø</t>
  </si>
  <si>
    <t>[2021-04-29 10:17:12.185]  Stop:      Y       16.8        3øC       3ø    355ø</t>
  </si>
  <si>
    <t xml:space="preserve">[2021-04-29 10:17:12.251] </t>
  </si>
  <si>
    <t>[2021-04-29 10:17:12.251]  Event 18</t>
  </si>
  <si>
    <t xml:space="preserve">[2021-04-29 10:17:12.266] </t>
  </si>
  <si>
    <t>[2021-04-29 10:17:12.564]  Scheduled start time:  02/25/2021 00:00:00</t>
  </si>
  <si>
    <t>[2021-04-29 10:17:12.912]  Event start time:      02/25/2021 00:00:00</t>
  </si>
  <si>
    <t>[2021-04-29 10:17:13.274]  Event stop time:       02/25/2021 00:00:28</t>
  </si>
  <si>
    <t xml:space="preserve">[2021-04-29 10:17:13.321] </t>
  </si>
  <si>
    <t>[2021-04-29 10:17:13.367]          Aligned  Battery  Temperature  Tilt  Heading</t>
  </si>
  <si>
    <t>[2021-04-29 10:17:13.528]  Start:     Y       17.1        3øC       2ø    354ø</t>
  </si>
  <si>
    <t>[2021-04-29 10:17:13.688]  Stop:      Y       16.7        3øC       2ø    353ø</t>
  </si>
  <si>
    <t xml:space="preserve">[2021-04-29 10:17:13.738] </t>
  </si>
  <si>
    <t>[2021-04-29 10:17:13.752]  Event 19</t>
  </si>
  <si>
    <t xml:space="preserve">[2021-04-29 10:17:13.770] </t>
  </si>
  <si>
    <t>[2021-04-29 10:17:14.071]  Scheduled start time:  03/07/2021 00:00:00</t>
  </si>
  <si>
    <t>[2021-04-29 10:17:14.425]  Event start time:      03/07/2021 00:00:00</t>
  </si>
  <si>
    <t>[2021-04-29 10:17:14.775]  Event stop time:       03/07/2021 00:00:28</t>
  </si>
  <si>
    <t xml:space="preserve">[2021-04-29 10:17:14.824] </t>
  </si>
  <si>
    <t>[2021-04-29 10:17:14.866]          Aligned  Battery  Temperature  Tilt  Heading</t>
  </si>
  <si>
    <t>[2021-04-29 10:17:15.034]  Start:     Y       17.0        3øC       2ø      1ø</t>
  </si>
  <si>
    <t>[2021-04-29 10:17:15.191]  Stop:      Y       16.6        3øC       2ø    357ø</t>
  </si>
  <si>
    <t xml:space="preserve">[2021-04-29 10:17:15.241] </t>
  </si>
  <si>
    <t>[2021-04-29 10:17:15.255]  Event 20</t>
  </si>
  <si>
    <t xml:space="preserve">[2021-04-29 10:17:15.273] </t>
  </si>
  <si>
    <t>[2021-04-29 10:17:15.578]  Scheduled start time:  03/17/2021 00:00:00</t>
  </si>
  <si>
    <t>[2021-04-29 10:17:15.927]  Event start time:      03/17/2021 00:00:00</t>
  </si>
  <si>
    <t>[2021-04-29 10:17:16.275]  Event stop time:       03/17/2021 00:00:28</t>
  </si>
  <si>
    <t xml:space="preserve">[2021-04-29 10:17:16.326] </t>
  </si>
  <si>
    <t>[2021-04-29 10:17:16.373]          Aligned  Battery  Temperature  Tilt  Heading</t>
  </si>
  <si>
    <t>[2021-04-29 10:17:16.535]  Start:     Y       16.9        3øC       2ø      3ø</t>
  </si>
  <si>
    <t>[2021-04-29 10:17:16.695]  Stop:      Y       16.5        3øC       2ø    356ø</t>
  </si>
  <si>
    <t xml:space="preserve">[2021-04-29 10:17:16.758] </t>
  </si>
  <si>
    <t>[2021-04-29 10:17:16.758]  Event 21</t>
  </si>
  <si>
    <t xml:space="preserve">[2021-04-29 10:17:16.774] </t>
  </si>
  <si>
    <t>[2021-04-29 10:17:17.076]  Scheduled start time:  03/27/2021 00:00:00</t>
  </si>
  <si>
    <t>[2021-04-29 10:17:17.431]  Event start time:      03/27/2021 00:00:00</t>
  </si>
  <si>
    <t>[2021-04-29 10:17:17.782]  Event stop time:       03/27/2021 00:00:28</t>
  </si>
  <si>
    <t xml:space="preserve">[2021-04-29 10:17:17.830] </t>
  </si>
  <si>
    <t>[2021-04-29 10:17:17.869]          Aligned  Battery  Temperature  Tilt  Heading</t>
  </si>
  <si>
    <t>[2021-04-29 10:17:18.036]  Start:     Y       16.8        3øC       2ø     27ø</t>
  </si>
  <si>
    <t>[2021-04-29 10:17:18.193]  Stop:      Y       16.4        3øC       2ø     27ø</t>
  </si>
  <si>
    <t xml:space="preserve">[2021-04-29 10:17:18.260] </t>
  </si>
  <si>
    <t>[2021-04-29 10:17:18.260]  Event 22</t>
  </si>
  <si>
    <t xml:space="preserve">[2021-04-29 10:17:18.279] </t>
  </si>
  <si>
    <t>[2021-04-29 10:17:18.581]  Scheduled start time:  04/06/2021 00:00:00</t>
  </si>
  <si>
    <t>[2021-04-29 10:17:18.925]  Event start time:      04/06/2021 00:00:00</t>
  </si>
  <si>
    <t>[2021-04-29 10:17:19.283]  Event stop time:       04/06/2021 00:00:28</t>
  </si>
  <si>
    <t xml:space="preserve">[2021-04-29 10:17:19.333] </t>
  </si>
  <si>
    <t>[2021-04-29 10:17:19.380]          Aligned  Battery  Temperature  Tilt  Heading</t>
  </si>
  <si>
    <t>[2021-04-29 10:17:19.536]  Start:     Y       16.7        3øC       2ø    335ø</t>
  </si>
  <si>
    <t>[2021-04-29 10:17:19.695]  Stop:      Y       16.3        3øC       2ø    324ø</t>
  </si>
  <si>
    <t xml:space="preserve">[2021-04-29 10:17:19.751] </t>
  </si>
  <si>
    <t>[2021-04-29 10:17:19.760]  TILT DATA</t>
  </si>
  <si>
    <t>[2021-04-29 10:17:19.781]  _________</t>
  </si>
  <si>
    <t xml:space="preserve">[2021-04-29 10:17:19.799]   </t>
  </si>
  <si>
    <t xml:space="preserve">[2021-04-29 10:17:19.814]  Tilt sample interval:  1440 minutes            </t>
  </si>
  <si>
    <t xml:space="preserve">[2021-04-29 10:17:19.876] </t>
  </si>
  <si>
    <t>[2021-04-29 10:17:19.876]  Event  Tilt  Heading</t>
  </si>
  <si>
    <t xml:space="preserve">[2021-04-29 10:17:19.908] </t>
  </si>
  <si>
    <t>[2021-04-29 10:17:19.935]    01    2øT   244øH</t>
  </si>
  <si>
    <t>[2021-04-29 10:17:20.003]    01    2øT   271øH</t>
  </si>
  <si>
    <t>[2021-04-29 10:17:20.067]    01    2øT   257øH</t>
  </si>
  <si>
    <t>[2021-04-29 10:17:20.115]    01    2øT   228øH</t>
  </si>
  <si>
    <t>[2021-04-29 10:17:20.180]    01    2øT   274øH</t>
  </si>
  <si>
    <t>[2021-04-29 10:17:20.240]    01    2øT   198øH</t>
  </si>
  <si>
    <t>[2021-04-29 10:17:20.285]    01    2øT   197øH</t>
  </si>
  <si>
    <t>[2021-04-29 10:17:20.354]    01    2øT   194øH</t>
  </si>
  <si>
    <t>[2021-04-29 10:17:20.419]    01    2øT   245øH</t>
  </si>
  <si>
    <t>[2021-04-29 10:17:20.469]    02    2øT   221øH</t>
  </si>
  <si>
    <t>[2021-04-29 10:17:20.530]    02    2øT   240øH</t>
  </si>
  <si>
    <t>[2021-04-29 10:17:20.592]    02    2øT   252øH</t>
  </si>
  <si>
    <t>[2021-04-29 10:17:20.636]    02    2øT    17øH</t>
  </si>
  <si>
    <t>[2021-04-29 10:17:20.706]    02    2øT     6øH</t>
  </si>
  <si>
    <t>[2021-04-29 10:17:20.769]    02    2øT   149øH</t>
  </si>
  <si>
    <t>[2021-04-29 10:17:20.830]    02    2øT   191øH</t>
  </si>
  <si>
    <t>[2021-04-29 10:17:20.882]    02    2øT   147øH</t>
  </si>
  <si>
    <t>[2021-04-29 10:17:20.946]    02    2øT   157øH</t>
  </si>
  <si>
    <t>[2021-04-29 10:17:21.010]    03    2øT   159øH</t>
  </si>
  <si>
    <t>[2021-04-29 10:17:21.058]    03    2øT   119øH</t>
  </si>
  <si>
    <t>[2021-04-29 10:17:21.121]    03    2øT   141øH</t>
  </si>
  <si>
    <t>[2021-04-29 10:17:21.186]    03    2øT   123øH</t>
  </si>
  <si>
    <t>[2021-04-29 10:17:21.235]    03    2øT   131øH</t>
  </si>
  <si>
    <t>[2021-04-29 10:17:21.300]    03    2øT   136øH</t>
  </si>
  <si>
    <t>[2021-04-29 10:17:21.357]    03    2øT    83øH</t>
  </si>
  <si>
    <t>[2021-04-29 10:17:21.429]    03    2øT    56øH</t>
  </si>
  <si>
    <t>[2021-04-29 10:17:21.470]    03    2øT    58øH</t>
  </si>
  <si>
    <t>[2021-04-29 10:17:21.536]    04    2øT    34øH</t>
  </si>
  <si>
    <t>[2021-04-29 10:17:21.602]    04    2øT   357øH</t>
  </si>
  <si>
    <t>[2021-04-29 10:17:21.664]    04    2øT    11øH</t>
  </si>
  <si>
    <t>[2021-04-29 10:17:21.708]    04    2øT    30øH</t>
  </si>
  <si>
    <t>[2021-04-29 10:17:21.779]    04    2øT    13øH</t>
  </si>
  <si>
    <t>[2021-04-29 10:17:21.838]    04    2øT    45øH</t>
  </si>
  <si>
    <t>[2021-04-29 10:17:21.904]    04    2øT   107øH</t>
  </si>
  <si>
    <t>[2021-04-29 10:17:21.954]    04    2øT   188øH</t>
  </si>
  <si>
    <t>[2021-04-29 10:17:22.019]    04    2øT    64øH</t>
  </si>
  <si>
    <t>[2021-04-29 10:17:22.081]    05    2øT    77øH</t>
  </si>
  <si>
    <t>[2021-04-29 10:17:22.124]    05    2øT   273øH</t>
  </si>
  <si>
    <t>[2021-04-29 10:17:22.194]    05    2øT   275øH</t>
  </si>
  <si>
    <t>[2021-04-29 10:17:22.251]    05    2øT   260øH</t>
  </si>
  <si>
    <t>[2021-04-29 10:17:22.304]    05    2øT   287øH</t>
  </si>
  <si>
    <t>[2021-04-29 10:17:22.369]    05    2øT   249øH</t>
  </si>
  <si>
    <t>[2021-04-29 10:17:22.433]    05    2øT   263øH</t>
  </si>
  <si>
    <t>[2021-04-29 10:17:22.483]    05    2øT   211øH</t>
  </si>
  <si>
    <t>[2021-04-29 10:17:22.538]    05    2øT   231øH</t>
  </si>
  <si>
    <t>[2021-04-29 10:17:22.609]    06    2øT   246øH</t>
  </si>
  <si>
    <t>[2021-04-29 10:17:22.668]    06    2øT   205øH</t>
  </si>
  <si>
    <t>[2021-04-29 10:17:22.721]    06    2øT   252øH</t>
  </si>
  <si>
    <t>[2021-04-29 10:17:22.785]    06    2øT   208øH</t>
  </si>
  <si>
    <t>[2021-04-29 10:17:22.847]    06    2øT   228øH</t>
  </si>
  <si>
    <t>[2021-04-29 10:17:22.897]    06    2øT   224øH</t>
  </si>
  <si>
    <t>[2021-04-29 10:17:22.959]    06    2øT   252øH</t>
  </si>
  <si>
    <t>[2021-04-29 10:17:23.018]    06    2øT   242øH</t>
  </si>
  <si>
    <t>[2021-04-29 10:17:23.073]    06    2øT   233øH</t>
  </si>
  <si>
    <t>[2021-04-29 10:17:23.136]    07    2øT   214øH</t>
  </si>
  <si>
    <t>[2021-04-29 10:17:23.201]    07    2øT   220øH</t>
  </si>
  <si>
    <t>[2021-04-29 10:17:23.247]    07    2øT   225øH</t>
  </si>
  <si>
    <t>[2021-04-29 10:17:23.312]    07    2øT   217øH</t>
  </si>
  <si>
    <t>[2021-04-29 10:17:23.373]    07    2øT   194øH</t>
  </si>
  <si>
    <t>[2021-04-29 10:17:23.420]    07    2øT   216øH</t>
  </si>
  <si>
    <t>[2021-04-29 10:17:23.488]    07    2øT   229øH</t>
  </si>
  <si>
    <t>[2021-04-29 10:17:23.551]    07    2øT   209øH</t>
  </si>
  <si>
    <t>[2021-04-29 10:17:23.600]    07    2øT   213øH</t>
  </si>
  <si>
    <t>[2021-04-29 10:17:23.663]    08    2øT   164øH</t>
  </si>
  <si>
    <t>[2021-04-29 10:17:23.724]    08    2øT   125øH</t>
  </si>
  <si>
    <t>[2021-04-29 10:17:23.776]    08    2øT   133øH</t>
  </si>
  <si>
    <t>[2021-04-29 10:17:23.834]    08    2øT   148øH</t>
  </si>
  <si>
    <t>[2021-04-29 10:17:23.905]    08    2øT   189øH</t>
  </si>
  <si>
    <t>[2021-04-29 10:17:23.952]    08    2øT   169øH</t>
  </si>
  <si>
    <t>[2021-04-29 10:17:24.016]    08    2øT   194øH</t>
  </si>
  <si>
    <t>[2021-04-29 10:17:24.080]    08    2øT   207øH</t>
  </si>
  <si>
    <t>[2021-04-29 10:17:24.125]    08    2øT   223øH</t>
  </si>
  <si>
    <t>[2021-04-29 10:17:24.188]    09    2øT   235øH</t>
  </si>
  <si>
    <t>[2021-04-29 10:17:24.255]    09    2øT   247øH</t>
  </si>
  <si>
    <t>[2021-04-29 10:17:24.304]    09    2øT   255øH</t>
  </si>
  <si>
    <t>[2021-04-29 10:17:24.367]    09    2øT   244øH</t>
  </si>
  <si>
    <t>[2021-04-29 10:17:24.432]    09    2øT   265øH</t>
  </si>
  <si>
    <t>[2021-04-29 10:17:24.480]    09    2øT   252øH</t>
  </si>
  <si>
    <t>[2021-04-29 10:17:24.547]    09    2øT   278øH</t>
  </si>
  <si>
    <t>[2021-04-29 10:17:24.607]    09    2øT   257øH</t>
  </si>
  <si>
    <t>[2021-04-29 10:17:24.651]    09    2øT   283øH</t>
  </si>
  <si>
    <t>[2021-04-29 10:17:24.719]    10    2øT   275øH</t>
  </si>
  <si>
    <t>[2021-04-29 10:17:24.780]    10    2øT   280øH</t>
  </si>
  <si>
    <t>[2021-04-29 10:17:24.832]    10    2øT   260øH</t>
  </si>
  <si>
    <t>[2021-04-29 10:17:24.889]    10    2øT   265øH</t>
  </si>
  <si>
    <t>[2021-04-29 10:17:24.956]    10    2øT   268øH</t>
  </si>
  <si>
    <t>[2021-04-29 10:17:25.026]    10    2øT   304øH</t>
  </si>
  <si>
    <t>[2021-04-29 10:17:25.071]    10    2øT   257øH</t>
  </si>
  <si>
    <t>[2021-04-29 10:17:25.136]    10    2øT   296øH</t>
  </si>
  <si>
    <t>[2021-04-29 10:17:25.198]    10    2øT   272øH</t>
  </si>
  <si>
    <t>[2021-04-29 10:17:25.242]    11    2øT   273øH</t>
  </si>
  <si>
    <t>[2021-04-29 10:17:25.312]    11    2øT   273øH</t>
  </si>
  <si>
    <t>[2021-04-29 10:17:25.370]    11    2øT   251øH</t>
  </si>
  <si>
    <t>[2021-04-29 10:17:25.426]    11    2øT   278øH</t>
  </si>
  <si>
    <t>[2021-04-29 10:17:25.486]    11    2øT   272øH</t>
  </si>
  <si>
    <t>[2021-04-29 10:17:25.549]    11    2øT   272øH</t>
  </si>
  <si>
    <t>[2021-04-29 10:17:25.614]    11    2øT   290øH</t>
  </si>
  <si>
    <t>[2021-04-29 10:17:25.662]    11    2øT   274øH</t>
  </si>
  <si>
    <t>[2021-04-29 10:17:25.721]    11    2øT   292øH</t>
  </si>
  <si>
    <t>[2021-04-29 10:17:25.785]    12    2øT   283øH</t>
  </si>
  <si>
    <t>[2021-04-29 10:17:25.839]    12    2øT   309øH</t>
  </si>
  <si>
    <t>[2021-04-29 10:17:25.903]    12    2øT   301øH</t>
  </si>
  <si>
    <t>[2021-04-29 10:17:25.962]    12    2øT   314øH</t>
  </si>
  <si>
    <t>[2021-04-29 10:17:26.015]    12    2øT   298øH</t>
  </si>
  <si>
    <t>[2021-04-29 10:17:26.080]    12    2øT   306øH</t>
  </si>
  <si>
    <t>[2021-04-29 10:17:26.138]    12    2øT   304øH</t>
  </si>
  <si>
    <t>[2021-04-29 10:17:26.202]    12    2øT   296øH</t>
  </si>
  <si>
    <t>[2021-04-29 10:17:26.254]    12    2øT   309øH</t>
  </si>
  <si>
    <t>[2021-04-29 10:17:26.320]    13    2øT   301øH</t>
  </si>
  <si>
    <t>[2021-04-29 10:17:26.382]    13    2øT   289øH</t>
  </si>
  <si>
    <t>[2021-04-29 10:17:26.424]    13    2øT   268øH</t>
  </si>
  <si>
    <t>[2021-04-29 10:17:26.488]    13    2øT   265øH</t>
  </si>
  <si>
    <t>[2021-04-29 10:17:26.557]    13    2øT   273øH</t>
  </si>
  <si>
    <t>[2021-04-29 10:17:26.602]    13    2øT   290øH</t>
  </si>
  <si>
    <t>[2021-04-29 10:17:26.670]    13    2øT   303øH</t>
  </si>
  <si>
    <t>[2021-04-29 10:17:26.733]    13    2øT   299øH</t>
  </si>
  <si>
    <t>[2021-04-29 10:17:26.778]    13    2øT   307øH</t>
  </si>
  <si>
    <t>[2021-04-29 10:17:26.845]    14    2øT   313øH</t>
  </si>
  <si>
    <t>[2021-04-29 10:17:26.905]    14    2øT   307øH</t>
  </si>
  <si>
    <t>[2021-04-29 10:17:26.969]    14    2øT   301øH</t>
  </si>
  <si>
    <t>[2021-04-29 10:17:27.022]    14    2øT   291øH</t>
  </si>
  <si>
    <t>[2021-04-29 10:17:27.087]    14    2øT   289øH</t>
  </si>
  <si>
    <t>[2021-04-29 10:17:27.150]    14    2øT   265øH</t>
  </si>
  <si>
    <t>[2021-04-29 10:17:27.198]    14    2øT   275øH</t>
  </si>
  <si>
    <t>[2021-04-29 10:17:27.255]    14    2øT   259øH</t>
  </si>
  <si>
    <t>[2021-04-29 10:17:27.321]    14    2øT   271øH</t>
  </si>
  <si>
    <t>[2021-04-29 10:17:27.372]    15    2øT   291øH</t>
  </si>
  <si>
    <t>[2021-04-29 10:17:27.438]    15    2øT   309øH</t>
  </si>
  <si>
    <t>[2021-04-29 10:17:27.502]    15    2øT   320øH</t>
  </si>
  <si>
    <t>[2021-04-29 10:17:27.566]    15    2øT   331øH</t>
  </si>
  <si>
    <t>[2021-04-29 10:17:27.615]    15    2øT   341øH</t>
  </si>
  <si>
    <t>[2021-04-29 10:17:27.672]    15    2øT   336øH</t>
  </si>
  <si>
    <t>[2021-04-29 10:17:27.737]    15    3øT   357øH</t>
  </si>
  <si>
    <t>[2021-04-29 10:17:27.787]    15    2øT   324øH</t>
  </si>
  <si>
    <t>[2021-04-29 10:17:27.853]    15    3øT   353øH</t>
  </si>
  <si>
    <t>[2021-04-29 10:17:27.917]    16    2øT   342øH</t>
  </si>
  <si>
    <t>[2021-04-29 10:17:27.968]    16    2øT   341øH</t>
  </si>
  <si>
    <t>[2021-04-29 10:17:28.031]    16    2øT   333øH</t>
  </si>
  <si>
    <t>[2021-04-29 10:17:28.096]    16    2øT   324øH</t>
  </si>
  <si>
    <t>[2021-04-29 10:17:28.154]    16    2øT   324øH</t>
  </si>
  <si>
    <t>[2021-04-29 10:17:28.203]    16    2øT   344øH</t>
  </si>
  <si>
    <t>[2021-04-29 10:17:28.270]    16    2øT   353øH</t>
  </si>
  <si>
    <t>[2021-04-29 10:17:28.333]    16    2øT   351øH</t>
  </si>
  <si>
    <t>[2021-04-29 10:17:28.373]    16    2øT   355øH</t>
  </si>
  <si>
    <t>[2021-04-29 10:17:28.446]    17    2øT   347øH</t>
  </si>
  <si>
    <t>[2021-04-29 10:17:28.511]    17    2øT     2øH</t>
  </si>
  <si>
    <t>[2021-04-29 10:17:28.568]    17    2øT   351øH</t>
  </si>
  <si>
    <t>[2021-04-29 10:17:28.633]    17    2øT     5øH</t>
  </si>
  <si>
    <t>[2021-04-29 10:17:28.684]    17    2øT     1øH</t>
  </si>
  <si>
    <t>[2021-04-29 10:17:28.751]    17    2øT   353øH</t>
  </si>
  <si>
    <t>[2021-04-29 10:17:28.813]    17    2øT   351øH</t>
  </si>
  <si>
    <t>[2021-04-29 10:17:28.877]    17    2øT   350øH</t>
  </si>
  <si>
    <t>[2021-04-29 10:17:28.925]    17    2øT   326øH</t>
  </si>
  <si>
    <t>[2021-04-29 10:17:28.987]    18    2øT   321øH</t>
  </si>
  <si>
    <t>[2021-04-29 10:17:29.053]    18    2øT   351øH</t>
  </si>
  <si>
    <t>[2021-04-29 10:17:29.102]    18    2øT   304øH</t>
  </si>
  <si>
    <t>[2021-04-29 10:17:29.167]    18    2øT   353øH</t>
  </si>
  <si>
    <t>[2021-04-29 10:17:29.223]    18    2øT   340øH</t>
  </si>
  <si>
    <t>[2021-04-29 10:17:29.273]    18    2øT   355øH</t>
  </si>
  <si>
    <t>[2021-04-29 10:17:29.343]    18    3øT     0øH</t>
  </si>
  <si>
    <t>[2021-04-29 10:17:29.404]    18    2øT   359øH</t>
  </si>
  <si>
    <t>[2021-04-29 10:17:29.468]    18    2øT   359øH</t>
  </si>
  <si>
    <t>[2021-04-29 10:17:29.512]    19    2øT   349øH</t>
  </si>
  <si>
    <t>[2021-04-29 10:17:29.576]    19    2øT     5øH</t>
  </si>
  <si>
    <t>[2021-04-29 10:17:29.645]    19    2øT   352øH</t>
  </si>
  <si>
    <t>[2021-04-29 10:17:29.705]    19    2øT     6øH</t>
  </si>
  <si>
    <t>[2021-04-29 10:17:29.767]    19    2øT   338øH</t>
  </si>
  <si>
    <t>[2021-04-29 10:17:29.836]    19    2øT     8øH</t>
  </si>
  <si>
    <t>[2021-04-29 10:17:29.883]    19    2øT   358øH</t>
  </si>
  <si>
    <t>[2021-04-29 10:17:29.949]    19    2øT    15øH</t>
  </si>
  <si>
    <t>[2021-04-29 10:17:30.012]    19    2øT   332øH</t>
  </si>
  <si>
    <t>[2021-04-29 10:17:30.061]    20    2øT   334øH</t>
  </si>
  <si>
    <t>[2021-04-29 10:17:30.117]    20    2øT   335øH</t>
  </si>
  <si>
    <t>[2021-04-29 10:17:30.187]    20    2øT   355øH</t>
  </si>
  <si>
    <t>[2021-04-29 10:17:30.250]    20    2øT     3øH</t>
  </si>
  <si>
    <t>[2021-04-29 10:17:30.315]    20    2øT    18øH</t>
  </si>
  <si>
    <t>[2021-04-29 10:17:30.365]    20    2øT   360øH</t>
  </si>
  <si>
    <t>[2021-04-29 10:17:30.429]    20    2øT    23øH</t>
  </si>
  <si>
    <t>[2021-04-29 10:17:30.488]    20    2øT     5øH</t>
  </si>
  <si>
    <t>[2021-04-29 10:17:30.549]    20    2øT    31øH</t>
  </si>
  <si>
    <t>[2021-04-29 10:17:30.620]    21    2øT    31øH</t>
  </si>
  <si>
    <t>[2021-04-29 10:17:30.666]    21    2øT     7øH</t>
  </si>
  <si>
    <t>[2021-04-29 10:17:30.731]    21    2øT   348øH</t>
  </si>
  <si>
    <t>[2021-04-29 10:17:30.797]    21    2øT    29øH</t>
  </si>
  <si>
    <t>[2021-04-29 10:17:30.853]    21    2øT   349øH</t>
  </si>
  <si>
    <t>[2021-04-29 10:17:30.907]    21    2øT    49øH</t>
  </si>
  <si>
    <t>[2021-04-29 10:17:30.971]    21    2øT   270øH</t>
  </si>
  <si>
    <t>[2021-04-29 10:17:31.035]    21    2øT    23øH</t>
  </si>
  <si>
    <t>[2021-04-29 10:17:31.093]    21    2øT    14øH</t>
  </si>
  <si>
    <t xml:space="preserve">[2021-04-29 10:17:31.117] </t>
  </si>
  <si>
    <t>[2021-04-29 10:17:31.135]  Normal shutdown.</t>
  </si>
  <si>
    <t xml:space="preserve">[2021-04-29 10:17:31.165] </t>
  </si>
  <si>
    <t xml:space="preserve">[2021-04-29 10:17:31.192]  End of instrument data file.        </t>
  </si>
  <si>
    <t xml:space="preserve">[2021-04-29 10:17:31.228] </t>
  </si>
  <si>
    <t xml:space="preserve">[2021-04-29 10:17:31.275]  Terminate file logging operation now          </t>
  </si>
  <si>
    <t>[2021-04-29 10:17:31.354]  and press any key to continue.</t>
  </si>
  <si>
    <t xml:space="preserve">[2021-04-29 10:17:38.616] </t>
  </si>
  <si>
    <t>[2021-04-29 10:17:38.616] _______________________________________________________</t>
  </si>
  <si>
    <t xml:space="preserve">[2021-04-29 10:17:38.678] </t>
  </si>
  <si>
    <t xml:space="preserve">[2021-04-29 10:17:38.694]               </t>
  </si>
  <si>
    <t xml:space="preserve">[2021-04-29 10:17:38.710] </t>
  </si>
  <si>
    <t xml:space="preserve">[2021-04-29 10:17:38.758] </t>
  </si>
  <si>
    <t xml:space="preserve">[2021-04-29 10:17:38.817] </t>
  </si>
  <si>
    <t xml:space="preserve">[2021-04-29 10:17:38.885] </t>
  </si>
  <si>
    <t xml:space="preserve">[2021-04-29 10:17:38.933] </t>
  </si>
  <si>
    <t xml:space="preserve">[2021-04-29 10:17:38.950] </t>
  </si>
  <si>
    <t xml:space="preserve">[2021-04-29 10:17:39.028] </t>
  </si>
  <si>
    <t xml:space="preserve">[2021-04-29 10:17:39.109] </t>
  </si>
  <si>
    <t xml:space="preserve">[2021-04-29 10:17:39.344] </t>
  </si>
  <si>
    <t xml:space="preserve">      Wed Apr 28 23:57:13 2021</t>
  </si>
  <si>
    <t xml:space="preserve">[2021-04-29 10:17:39.398] </t>
  </si>
  <si>
    <t xml:space="preserve">[2021-04-29 10:17:39.445] </t>
  </si>
  <si>
    <t xml:space="preserve">[2021-04-29 10:17:39.535] </t>
  </si>
  <si>
    <t xml:space="preserve">[2021-04-29 10:17:39.636] </t>
  </si>
  <si>
    <t xml:space="preserve">[2021-04-29 10:17:39.731] </t>
  </si>
  <si>
    <t xml:space="preserve">[2021-04-29 10:17:39.797] </t>
  </si>
  <si>
    <t xml:space="preserve">[2021-04-29 10:17:39.813] </t>
  </si>
  <si>
    <t xml:space="preserve">[2021-04-29 10:17:42.437] </t>
  </si>
  <si>
    <t>[2021-04-29 10:17:42.515]  04/28/2021 23:57:17 Sleeping . . .</t>
  </si>
  <si>
    <t>3800m</t>
  </si>
  <si>
    <t>[2021-04-29 10:29:08.075] .</t>
  </si>
  <si>
    <t>[2021-04-29 10:29:09.596] Enter ^C now to wake up ...  [^C]</t>
  </si>
  <si>
    <t xml:space="preserve">[2021-04-29 10:29:10.073] </t>
  </si>
  <si>
    <t>[2021-04-29 10:29:10.073] ________________________________________________________________</t>
  </si>
  <si>
    <t>[2021-04-29 10:29:10.135] Configuration: PST-21                   CF2 V3_09 of May 16 2014</t>
  </si>
  <si>
    <t xml:space="preserve">[2021-04-29 10:29:10.217] </t>
  </si>
  <si>
    <t>[2021-04-29 10:29:10.217]                McLane Research Laboratories, Inc.</t>
  </si>
  <si>
    <t>[2021-04-29 10:29:10.266]                      ParFlux Sediment Trap</t>
  </si>
  <si>
    <t>[2021-04-29 10:29:10.314]                            ML12993-01</t>
  </si>
  <si>
    <t>[2021-04-29 10:29:10.346]                _________________________________</t>
  </si>
  <si>
    <t>[2021-04-29 10:29:10.410]                            Main Menu</t>
  </si>
  <si>
    <t>[2021-04-29 10:29:10.442]                _________________________________</t>
  </si>
  <si>
    <t>[2021-04-29 10:29:10.506]                    Thu Apr 29 00:28:11 2021</t>
  </si>
  <si>
    <t xml:space="preserve">[2021-04-29 10:29:10.553] </t>
  </si>
  <si>
    <t>[2021-04-29 10:29:10.553]            &lt;1&gt; Set Time          &lt;5&gt; Create Schedule</t>
  </si>
  <si>
    <t xml:space="preserve">[2021-04-29 10:29:10.618]            &lt;2&gt; Diagnostics       &lt;6&gt; Deploy System  </t>
  </si>
  <si>
    <t xml:space="preserve">[2021-04-29 10:29:10.661]            &lt;3&gt; Fill Containers   &lt;7&gt; Offload Data   </t>
  </si>
  <si>
    <t xml:space="preserve">[2021-04-29 10:29:10.727]            &lt;4&gt; Sleep             &lt;8&gt; Contact McLane </t>
  </si>
  <si>
    <t xml:space="preserve">[2021-04-29 10:29:10.857] </t>
  </si>
  <si>
    <t>[2021-04-29 10:29:10.857]                 Selection [] ? 2</t>
  </si>
  <si>
    <t xml:space="preserve">[2021-04-29 10:29:15.271] </t>
  </si>
  <si>
    <t>[2021-04-29 10:29:15.271] ^C to exit. Any other key to pause/continue.</t>
  </si>
  <si>
    <t xml:space="preserve">[2021-04-29 10:29:15.311] </t>
  </si>
  <si>
    <t>[2021-04-29 10:29:15.327]   Date     Time    Battery TempTur  Rotator</t>
  </si>
  <si>
    <t>[2021-04-29 10:29:17.044] 04/29/21 00:28:18  18.8 Vb  18.9°C  aligned</t>
  </si>
  <si>
    <t>[2021-04-29 10:29:19.043] 04/29/21 00:28:20  18.7 Vb  18.9°C  aligned</t>
  </si>
  <si>
    <t>[2021-04-29 10:29:21.057] 04/29/21 00:28:22  18.7 Vb  18.9°C  aligned</t>
  </si>
  <si>
    <t>[2021-04-29 10:29:23.055] 04/29/21 00:28:24  18.7 Vb  18.9°C  aligned</t>
  </si>
  <si>
    <t xml:space="preserve">[2021-04-29 10:29:23.151]  ... any key to continue ... </t>
  </si>
  <si>
    <t xml:space="preserve">[2021-04-29 10:29:27.453] </t>
  </si>
  <si>
    <t>[2021-04-29 10:29:27.468] ________________________________________________________________</t>
  </si>
  <si>
    <t>[2021-04-29 10:29:27.527] Configuration: PST-21                   CF2 V3_09 of May 16 2014</t>
  </si>
  <si>
    <t xml:space="preserve">[2021-04-29 10:29:27.598] </t>
  </si>
  <si>
    <t>[2021-04-29 10:29:27.598]                McLane Research Laboratories, Inc.</t>
  </si>
  <si>
    <t>[2021-04-29 10:29:27.656]                      ParFlux Sediment Trap</t>
  </si>
  <si>
    <t>[2021-04-29 10:29:27.690]                            ML12993-01</t>
  </si>
  <si>
    <t>[2021-04-29 10:29:27.737]                _________________________________</t>
  </si>
  <si>
    <t>[2021-04-29 10:29:27.789]                            Main Menu</t>
  </si>
  <si>
    <t>[2021-04-29 10:29:27.838]                _________________________________</t>
  </si>
  <si>
    <t>[2021-04-29 10:29:27.902]                    Thu Apr 29 00:28:28 2021</t>
  </si>
  <si>
    <t xml:space="preserve">[2021-04-29 10:29:27.948] </t>
  </si>
  <si>
    <t>[2021-04-29 10:29:27.948]            &lt;1&gt; Set Time          &lt;5&gt; Create Schedule</t>
  </si>
  <si>
    <t xml:space="preserve">[2021-04-29 10:29:27.996]            &lt;2&gt; Diagnostics       &lt;6&gt; Deploy System  </t>
  </si>
  <si>
    <t xml:space="preserve">[2021-04-29 10:29:28.055]            &lt;3&gt; Fill Containers   &lt;7&gt; Offload Data   </t>
  </si>
  <si>
    <t xml:space="preserve">[2021-04-29 10:29:28.106]            &lt;4&gt; Sleep             &lt;8&gt; Contact McLane </t>
  </si>
  <si>
    <t xml:space="preserve">[2021-04-29 10:29:28.253] </t>
  </si>
  <si>
    <t>[2021-04-29 10:29:28.253]                 Selection [] ? 7</t>
  </si>
  <si>
    <t xml:space="preserve">[2021-04-29 10:29:30.780] </t>
  </si>
  <si>
    <t>[2021-04-29 10:29:30.780] ________________________________________________________________</t>
  </si>
  <si>
    <t>[2021-04-29 10:29:30.875] Configuration: PST-21                   CF2 V3_09 of May 16 2014</t>
  </si>
  <si>
    <t xml:space="preserve">[2021-04-29 10:29:30.939] </t>
  </si>
  <si>
    <t>[2021-04-29 10:29:30.939]                _________________________________</t>
  </si>
  <si>
    <t>[2021-04-29 10:29:31.002]                    Offload/Display Data File</t>
  </si>
  <si>
    <t>[2021-04-29 10:29:31.035]                _________________________________</t>
  </si>
  <si>
    <t>[2021-04-29 10:29:31.212]                    Thu Apr 29 00:28:31 2021</t>
  </si>
  <si>
    <t xml:space="preserve">[2021-04-29 10:29:31.259] </t>
  </si>
  <si>
    <t xml:space="preserve">[2021-04-29 10:29:31.259]                 &lt;1&gt; Display all data     </t>
  </si>
  <si>
    <t>[2021-04-29 10:29:31.307]                 &lt;2&gt; Display backup EEPROM</t>
  </si>
  <si>
    <t xml:space="preserve">[2021-04-29 10:29:31.354]                 &lt;M&gt; Main Menu            </t>
  </si>
  <si>
    <t xml:space="preserve">[2021-04-29 10:29:31.403] </t>
  </si>
  <si>
    <t>[2021-04-29 10:29:31.403]                 Selection [1] ? 1</t>
  </si>
  <si>
    <t xml:space="preserve">[2021-04-29 10:29:33.720] </t>
  </si>
  <si>
    <t>[2021-04-29 10:29:33.720]  To copy the instrument data file to a disk file, initiate</t>
  </si>
  <si>
    <t>[2021-04-29 10:29:33.785]  your communication program's file logging command now and</t>
  </si>
  <si>
    <t>[2021-04-29 10:29:33.849]  then press any key to start the transfer.  The instrument</t>
  </si>
  <si>
    <t>[2021-04-29 10:29:33.913]  data file will remain resident and is not erased by this</t>
  </si>
  <si>
    <t>[2021-04-29 10:29:33.977]  offload procedure.</t>
  </si>
  <si>
    <t xml:space="preserve">[2021-04-29 10:29:33.994] </t>
  </si>
  <si>
    <t xml:space="preserve">[2021-04-29 10:29:35.080] </t>
  </si>
  <si>
    <t>[2021-04-29 10:29:35.080] Configuration:     PST-21</t>
  </si>
  <si>
    <t>[2021-04-29 10:29:35.097] Software version:  PST-3_09.c</t>
  </si>
  <si>
    <t>[2021-04-29 10:29:35.147] Compiled:          May 16 2014 11:42:19</t>
  </si>
  <si>
    <t>[2021-04-29 10:29:35.178] Electronics S/N:   ML12993-01</t>
  </si>
  <si>
    <t xml:space="preserve">[2021-04-29 10:29:35.210] </t>
  </si>
  <si>
    <t>[2021-04-29 10:29:35.224] Data recording start time: 08/14/20 00:49:04</t>
  </si>
  <si>
    <t>[2021-04-29 10:29:35.288] Data recording  stop time: 04/06/21 00:00:32</t>
  </si>
  <si>
    <t xml:space="preserve">[2021-04-29 10:29:35.336] </t>
  </si>
  <si>
    <t>[2021-04-29 10:29:35.353]  HEADER</t>
  </si>
  <si>
    <t>[2021-04-29 10:29:35.353]  ______</t>
  </si>
  <si>
    <t xml:space="preserve">[2021-04-29 10:29:35.369] </t>
  </si>
  <si>
    <t>[2021-04-29 10:29:35.369]  SAZ22_2020_3800m_ML12993_01_no Tilt</t>
  </si>
  <si>
    <t xml:space="preserve">[2021-04-29 10:29:35.401] </t>
  </si>
  <si>
    <t>[2021-04-29 10:29:35.401]  SCHEDULE</t>
  </si>
  <si>
    <t>[2021-04-29 10:29:35.417]  ________</t>
  </si>
  <si>
    <t xml:space="preserve">[2021-04-29 10:29:35.432] </t>
  </si>
  <si>
    <t>[2021-04-29 10:29:35.447]  Event 01 of 22 @ 09/08/20 00:00:00</t>
  </si>
  <si>
    <t>[2021-04-29 10:29:35.513]  Event 02 of 22 @ 09/18/20 00:00:00</t>
  </si>
  <si>
    <t>[2021-04-29 10:29:35.563]  Event 03 of 22 @ 09/28/20 00:00:00</t>
  </si>
  <si>
    <t>[2021-04-29 10:29:35.623]  Event 04 of 22 @ 10/08/20 00:00:00</t>
  </si>
  <si>
    <t>[2021-04-29 10:29:35.663]  Event 05 of 22 @ 10/18/20 00:00:00</t>
  </si>
  <si>
    <t>[2021-04-29 10:29:35.734]  Event 06 of 22 @ 10/28/20 00:00:00</t>
  </si>
  <si>
    <t>[2021-04-29 10:29:35.783]  Event 07 of 22 @ 11/07/20 00:00:00</t>
  </si>
  <si>
    <t>[2021-04-29 10:29:35.847]  Event 08 of 22 @ 11/17/20 00:00:00</t>
  </si>
  <si>
    <t>[2021-04-29 10:29:35.897]  Event 09 of 22 @ 11/27/20 00:00:00</t>
  </si>
  <si>
    <t>[2021-04-29 10:29:35.963]  Event 10 of 22 @ 12/07/20 00:00:00</t>
  </si>
  <si>
    <t>[2021-04-29 10:29:36.004]  Event 11 of 22 @ 12/17/20 00:00:00</t>
  </si>
  <si>
    <t>[2021-04-29 10:29:36.073]  Event 12 of 22 @ 12/27/20 00:00:00</t>
  </si>
  <si>
    <t>[2021-04-29 10:29:36.119]  Event 13 of 22 @ 01/06/21 00:00:00</t>
  </si>
  <si>
    <t>[2021-04-29 10:29:36.182]  Event 14 of 22 @ 01/16/21 00:00:00</t>
  </si>
  <si>
    <t>[2021-04-29 10:29:36.231]  Event 15 of 22 @ 01/26/21 00:00:00</t>
  </si>
  <si>
    <t>[2021-04-29 10:29:36.296]  Event 16 of 22 @ 02/05/21 00:00:00</t>
  </si>
  <si>
    <t>[2021-04-29 10:29:36.347]  Event 17 of 22 @ 02/15/21 00:00:00</t>
  </si>
  <si>
    <t>[2021-04-29 10:29:36.404]  Event 18 of 22 @ 02/25/21 00:00:00</t>
  </si>
  <si>
    <t>[2021-04-29 10:29:36.471]  Event 19 of 22 @ 03/07/21 00:00:00</t>
  </si>
  <si>
    <t>[2021-04-29 10:29:36.514]  Event 20 of 22 @ 03/17/21 00:00:00</t>
  </si>
  <si>
    <t>[2021-04-29 10:29:36.578]  Event 21 of 22 @ 03/27/21 00:00:00</t>
  </si>
  <si>
    <t>[2021-04-29 10:29:36.630]  Event 22 of 22 @ 04/06/21 00:00:00</t>
  </si>
  <si>
    <t xml:space="preserve">[2021-04-29 10:29:36.680] </t>
  </si>
  <si>
    <t>[2021-04-29 10:29:36.680]  DEPLOYMENT DATA</t>
  </si>
  <si>
    <t>[2021-04-29 10:29:36.695]  _______________</t>
  </si>
  <si>
    <t xml:space="preserve">[2021-04-29 10:29:36.714] </t>
  </si>
  <si>
    <t>[2021-04-29 10:29:36.714]  Event 01</t>
  </si>
  <si>
    <t xml:space="preserve">[2021-04-29 10:29:36.731] </t>
  </si>
  <si>
    <t>[2021-04-29 10:29:36.731]  Scheduled start time:  09/08/20 00:00:00</t>
  </si>
  <si>
    <t>[2021-04-29 10:29:36.792]  Event start time:      09/08/20 00:00:02</t>
  </si>
  <si>
    <t>[2021-04-29 10:29:36.858]  Event stop time:       09/08/20 00:00:29</t>
  </si>
  <si>
    <t>[2021-04-29 10:29:36.904]  Event duration:        27 seconds</t>
  </si>
  <si>
    <t xml:space="preserve">[2021-04-29 10:29:36.952] </t>
  </si>
  <si>
    <t>[2021-04-29 10:29:36.953]       Aligned    Battery Temperature</t>
  </si>
  <si>
    <t>[2021-04-29 10:29:36.996]  Start:     Y       19.3      1.5°C</t>
  </si>
  <si>
    <t>[2021-04-29 10:29:37.033]  Stop:      Y       19.0      1.6°C</t>
  </si>
  <si>
    <t xml:space="preserve">[2021-04-29 10:29:37.080] </t>
  </si>
  <si>
    <t>[2021-04-29 10:29:37.080]  Event 02</t>
  </si>
  <si>
    <t>[2021-04-29 10:29:37.097]  Scheduled start time:  09/18/20 00:00:00</t>
  </si>
  <si>
    <t>[2021-04-29 10:29:37.144]  Event start time:      09/18/20 00:00:02</t>
  </si>
  <si>
    <t>[2021-04-29 10:29:37.207]  Event stop time:       09/18/20 00:00:29</t>
  </si>
  <si>
    <t>[2021-04-29 10:29:37.272]  Event duration:        27 seconds</t>
  </si>
  <si>
    <t xml:space="preserve">[2021-04-29 10:29:37.304] </t>
  </si>
  <si>
    <t>[2021-04-29 10:29:37.314]       Aligned    Battery Temperature</t>
  </si>
  <si>
    <t>[2021-04-29 10:29:37.353]  Start:     Y       19.2      1.4°C</t>
  </si>
  <si>
    <t>[2021-04-29 10:29:37.399]  Stop:      Y       18.9      1.6°C</t>
  </si>
  <si>
    <t xml:space="preserve">[2021-04-29 10:29:37.432] </t>
  </si>
  <si>
    <t>[2021-04-29 10:29:37.433]  Event 03</t>
  </si>
  <si>
    <t xml:space="preserve">[2021-04-29 10:29:37.448] </t>
  </si>
  <si>
    <t>[2021-04-29 10:29:37.448]  Scheduled start time:  09/28/20 00:00:00</t>
  </si>
  <si>
    <t>[2021-04-29 10:29:37.512]  Event start time:      09/28/20 00:00:02</t>
  </si>
  <si>
    <t>[2021-04-29 10:29:37.575]  Event stop time:       09/28/20 00:00:29</t>
  </si>
  <si>
    <t>[2021-04-29 10:29:37.639]  Event duration:        27 seconds</t>
  </si>
  <si>
    <t xml:space="preserve">[2021-04-29 10:29:37.672] </t>
  </si>
  <si>
    <t>[2021-04-29 10:29:37.673]       Aligned    Battery Temperature</t>
  </si>
  <si>
    <t>[2021-04-29 10:29:37.719]  Start:     Y       19.2      1.5°C</t>
  </si>
  <si>
    <t>[2021-04-29 10:29:37.752]  Stop:      Y       18.8      1.6°C</t>
  </si>
  <si>
    <t xml:space="preserve">[2021-04-29 10:29:37.799] </t>
  </si>
  <si>
    <t>[2021-04-29 10:29:37.799]  Event 04</t>
  </si>
  <si>
    <t xml:space="preserve">[2021-04-29 10:29:37.815] </t>
  </si>
  <si>
    <t>[2021-04-29 10:29:37.815]  Scheduled start time:  10/08/20 00:00:00</t>
  </si>
  <si>
    <t>[2021-04-29 10:29:37.881]  Event start time:      10/08/20 00:00:02</t>
  </si>
  <si>
    <t>[2021-04-29 10:29:37.927]  Event stop time:       10/08/20 00:00:29</t>
  </si>
  <si>
    <t>[2021-04-29 10:29:37.991]  Event duration:        27 seconds</t>
  </si>
  <si>
    <t xml:space="preserve">[2021-04-29 10:29:38.038] </t>
  </si>
  <si>
    <t>[2021-04-29 10:29:38.038]       Aligned    Battery Temperature</t>
  </si>
  <si>
    <t>[2021-04-29 10:29:38.071]  Start:     Y       19.1      1.5°C</t>
  </si>
  <si>
    <t>[2021-04-29 10:29:38.119]  Stop:      Y       18.7      1.6°C</t>
  </si>
  <si>
    <t xml:space="preserve">[2021-04-29 10:29:38.151] </t>
  </si>
  <si>
    <t>[2021-04-29 10:29:38.152]  Event 05</t>
  </si>
  <si>
    <t xml:space="preserve">[2021-04-29 10:29:38.166] </t>
  </si>
  <si>
    <t>[2021-04-29 10:29:38.166]  Scheduled start time:  10/18/20 00:00:00</t>
  </si>
  <si>
    <t>[2021-04-29 10:29:38.230]  Event start time:      10/18/20 00:00:02</t>
  </si>
  <si>
    <t>[2021-04-29 10:29:38.296]  Event stop time:       10/18/20 00:00:29</t>
  </si>
  <si>
    <t>[2021-04-29 10:29:38.360]  Event duration:        27 seconds</t>
  </si>
  <si>
    <t xml:space="preserve">[2021-04-29 10:29:38.392] </t>
  </si>
  <si>
    <t>[2021-04-29 10:29:38.392]       Aligned    Battery Temperature</t>
  </si>
  <si>
    <t>[2021-04-29 10:29:38.439]  Start:     Y       19.0      1.5°C</t>
  </si>
  <si>
    <t>[2021-04-29 10:29:38.481]  Stop:      Y       18.7      1.6°C</t>
  </si>
  <si>
    <t xml:space="preserve">[2021-04-29 10:29:38.519] </t>
  </si>
  <si>
    <t>[2021-04-29 10:29:38.520]  Event 06</t>
  </si>
  <si>
    <t xml:space="preserve">[2021-04-29 10:29:38.534] </t>
  </si>
  <si>
    <t>[2021-04-29 10:29:38.534]  Scheduled start time:  10/28/20 00:00:00</t>
  </si>
  <si>
    <t>[2021-04-29 10:29:38.600]  Event start time:      10/28/20 00:00:02</t>
  </si>
  <si>
    <t>[2021-04-29 10:29:38.662]  Event stop time:       10/28/20 00:00:29</t>
  </si>
  <si>
    <t>[2021-04-29 10:29:38.712]  Event duration:        27 seconds</t>
  </si>
  <si>
    <t xml:space="preserve">[2021-04-29 10:29:38.759] </t>
  </si>
  <si>
    <t>[2021-04-29 10:29:38.759]       Aligned    Battery Temperature</t>
  </si>
  <si>
    <t>[2021-04-29 10:29:38.805]  Start:     Y       19.0      1.4°C</t>
  </si>
  <si>
    <t>[2021-04-29 10:29:38.839]  Stop:      Y       18.7      1.6°C</t>
  </si>
  <si>
    <t xml:space="preserve">[2021-04-29 10:29:38.886] </t>
  </si>
  <si>
    <t>[2021-04-29 10:29:38.886]  Event 07</t>
  </si>
  <si>
    <t>[2021-04-29 10:29:38.897]  Scheduled start time:  11/07/20 00:00:00</t>
  </si>
  <si>
    <t>[2021-04-29 10:29:38.950]  Event start time:      11/07/20 00:00:02</t>
  </si>
  <si>
    <t>[2021-04-29 10:29:39.014]  Event stop time:       11/07/20 00:00:29</t>
  </si>
  <si>
    <t>[2021-04-29 10:29:39.078]  Event duration:        27 seconds</t>
  </si>
  <si>
    <t xml:space="preserve">[2021-04-29 10:29:39.111] </t>
  </si>
  <si>
    <t>[2021-04-29 10:29:39.125]       Aligned    Battery Temperature</t>
  </si>
  <si>
    <t>[2021-04-29 10:29:39.159]  Start:     Y       18.9      1.4°C</t>
  </si>
  <si>
    <t>[2021-04-29 10:29:39.206]  Stop:      Y       18.6      1.6°C</t>
  </si>
  <si>
    <t xml:space="preserve">[2021-04-29 10:29:39.238] </t>
  </si>
  <si>
    <t>[2021-04-29 10:29:39.238]  Event 08</t>
  </si>
  <si>
    <t xml:space="preserve">[2021-04-29 10:29:39.255] </t>
  </si>
  <si>
    <t>[2021-04-29 10:29:39.255]  Scheduled start time:  11/17/20 00:00:00</t>
  </si>
  <si>
    <t>[2021-04-29 10:29:39.319]  Event start time:      11/17/20 00:00:02</t>
  </si>
  <si>
    <t>[2021-04-29 10:29:39.382]  Event stop time:       11/17/20 00:00:29</t>
  </si>
  <si>
    <t>[2021-04-29 10:29:39.448]  Event duration:        27 seconds</t>
  </si>
  <si>
    <t xml:space="preserve">[2021-04-29 10:29:39.479] </t>
  </si>
  <si>
    <t>[2021-04-29 10:29:39.479]       Aligned    Battery Temperature</t>
  </si>
  <si>
    <t>[2021-04-29 10:29:39.527]  Start:     Y       18.9      1.5°C</t>
  </si>
  <si>
    <t>[2021-04-29 10:29:39.558]  Stop:      Y       18.6      1.6°C</t>
  </si>
  <si>
    <t xml:space="preserve">[2021-04-29 10:29:39.606] </t>
  </si>
  <si>
    <t>[2021-04-29 10:29:39.607]  Event 09</t>
  </si>
  <si>
    <t xml:space="preserve">[2021-04-29 10:29:39.622] </t>
  </si>
  <si>
    <t>[2021-04-29 10:29:39.622]  Scheduled start time:  11/27/20 00:00:00</t>
  </si>
  <si>
    <t>[2021-04-29 10:29:39.681]  Event start time:      11/27/20 00:00:02</t>
  </si>
  <si>
    <t>[2021-04-29 10:29:39.734]  Event stop time:       11/27/20 00:00:29</t>
  </si>
  <si>
    <t>[2021-04-29 10:29:39.798]  Event duration:        27 seconds</t>
  </si>
  <si>
    <t xml:space="preserve">[2021-04-29 10:29:39.845] </t>
  </si>
  <si>
    <t>[2021-04-29 10:29:39.845]       Aligned    Battery Temperature</t>
  </si>
  <si>
    <t>[2021-04-29 10:29:39.877]  Start:     Y       18.9      1.4°C</t>
  </si>
  <si>
    <t>[2021-04-29 10:29:39.928]  Stop:      Y       18.6      1.6°C</t>
  </si>
  <si>
    <t xml:space="preserve">[2021-04-29 10:29:39.958] </t>
  </si>
  <si>
    <t>[2021-04-29 10:29:39.958]  Event 10</t>
  </si>
  <si>
    <t xml:space="preserve">[2021-04-29 10:29:39.975] </t>
  </si>
  <si>
    <t>[2021-04-29 10:29:39.975]  Scheduled start time:  12/07/20 00:00:00</t>
  </si>
  <si>
    <t>[2021-04-29 10:29:40.038]  Event start time:      12/07/20 00:00:02</t>
  </si>
  <si>
    <t>[2021-04-29 10:29:40.102]  Event stop time:       12/07/20 00:00:29</t>
  </si>
  <si>
    <t>[2021-04-29 10:29:40.167]  Event duration:        27 seconds</t>
  </si>
  <si>
    <t xml:space="preserve">[2021-04-29 10:29:40.198] </t>
  </si>
  <si>
    <t>[2021-04-29 10:29:40.198]       Aligned    Battery Temperature</t>
  </si>
  <si>
    <t>[2021-04-29 10:29:40.248]  Start:     Y       18.8      1.4°C</t>
  </si>
  <si>
    <t>[2021-04-29 10:29:40.288]  Stop:      Y       18.5      1.5°C</t>
  </si>
  <si>
    <t xml:space="preserve">[2021-04-29 10:29:40.327] </t>
  </si>
  <si>
    <t>[2021-04-29 10:29:40.327]  Event 11</t>
  </si>
  <si>
    <t xml:space="preserve">[2021-04-29 10:29:40.341] </t>
  </si>
  <si>
    <t>[2021-04-29 10:29:40.341]  Scheduled start time:  12/17/20 00:00:00</t>
  </si>
  <si>
    <t>[2021-04-29 10:29:40.405]  Event start time:      12/17/20 00:00:02</t>
  </si>
  <si>
    <t>[2021-04-29 10:29:40.470]  Event stop time:       12/17/20 00:00:29</t>
  </si>
  <si>
    <t>[2021-04-29 10:29:40.519]  Event duration:        27 seconds</t>
  </si>
  <si>
    <t xml:space="preserve">[2021-04-29 10:29:40.566] </t>
  </si>
  <si>
    <t>[2021-04-29 10:29:40.566]       Aligned    Battery Temperature</t>
  </si>
  <si>
    <t>[2021-04-29 10:29:40.615]  Start:     Y       18.8      1.4°C</t>
  </si>
  <si>
    <t>[2021-04-29 10:29:40.647]  Stop:      Y       18.5      1.5°C</t>
  </si>
  <si>
    <t xml:space="preserve">[2021-04-29 10:29:40.695] </t>
  </si>
  <si>
    <t>[2021-04-29 10:29:40.695]  Event 12</t>
  </si>
  <si>
    <t>[2021-04-29 10:29:40.695]  Scheduled start time:  12/27/20 00:00:00</t>
  </si>
  <si>
    <t>[2021-04-29 10:29:40.757]  Event start time:      12/27/20 00:00:02</t>
  </si>
  <si>
    <t>[2021-04-29 10:29:40.823]  Event stop time:       12/27/20 00:00:29</t>
  </si>
  <si>
    <t>[2021-04-29 10:29:40.885]  Event duration:        27 seconds</t>
  </si>
  <si>
    <t xml:space="preserve">[2021-04-29 10:29:40.917] </t>
  </si>
  <si>
    <t>[2021-04-29 10:29:40.929]       Aligned    Battery Temperature</t>
  </si>
  <si>
    <t>[2021-04-29 10:29:40.965]  Start:     Y       18.8      1.4°C</t>
  </si>
  <si>
    <t>[2021-04-29 10:29:41.015]  Stop:      Y       18.4      1.6°C</t>
  </si>
  <si>
    <t xml:space="preserve">[2021-04-29 10:29:41.046] </t>
  </si>
  <si>
    <t>[2021-04-29 10:29:41.046]  Event 13</t>
  </si>
  <si>
    <t xml:space="preserve">[2021-04-29 10:29:41.063] </t>
  </si>
  <si>
    <t>[2021-04-29 10:29:41.063]  Scheduled start time:  01/06/21 00:00:00</t>
  </si>
  <si>
    <t>[2021-04-29 10:29:41.126]  Event start time:      01/06/21 00:00:02</t>
  </si>
  <si>
    <t>[2021-04-29 10:29:41.191]  Event stop time:       01/06/21 00:00:29</t>
  </si>
  <si>
    <t>[2021-04-29 10:29:41.254]  Event duration:        27 seconds</t>
  </si>
  <si>
    <t xml:space="preserve">[2021-04-29 10:29:41.286] </t>
  </si>
  <si>
    <t>[2021-04-29 10:29:41.286]       Aligned    Battery Temperature</t>
  </si>
  <si>
    <t>[2021-04-29 10:29:41.331]  Start:     Y       18.7      1.5°C</t>
  </si>
  <si>
    <t>[2021-04-29 10:29:41.364]  Stop:      Y       18.4      1.6°C</t>
  </si>
  <si>
    <t xml:space="preserve">[2021-04-29 10:29:41.413] </t>
  </si>
  <si>
    <t>[2021-04-29 10:29:41.413]  Event 14</t>
  </si>
  <si>
    <t xml:space="preserve">[2021-04-29 10:29:41.432] </t>
  </si>
  <si>
    <t>[2021-04-29 10:29:41.432]  Scheduled start time:  01/16/21 00:00:00</t>
  </si>
  <si>
    <t>[2021-04-29 10:29:41.491]  Event start time:      01/16/21 00:00:02</t>
  </si>
  <si>
    <t>[2021-04-29 10:29:41.541]  Event stop time:       01/16/21 00:00:29</t>
  </si>
  <si>
    <t>[2021-04-29 10:29:41.606]  Event duration:        27 seconds</t>
  </si>
  <si>
    <t xml:space="preserve">[2021-04-29 10:29:41.653] </t>
  </si>
  <si>
    <t>[2021-04-29 10:29:41.653]       Aligned    Battery Temperature</t>
  </si>
  <si>
    <t>[2021-04-29 10:29:41.685]  Start:     Y       18.7      1.5°C</t>
  </si>
  <si>
    <t>[2021-04-29 10:29:41.733]  Stop:      Y       18.4      1.6°C</t>
  </si>
  <si>
    <t xml:space="preserve">[2021-04-29 10:29:41.763] </t>
  </si>
  <si>
    <t>[2021-04-29 10:29:41.763]  Event 15</t>
  </si>
  <si>
    <t xml:space="preserve">[2021-04-29 10:29:41.782] </t>
  </si>
  <si>
    <t>[2021-04-29 10:29:41.782]  Scheduled start time:  01/26/21 00:00:00</t>
  </si>
  <si>
    <t>[2021-04-29 10:29:41.845]  Event start time:      01/26/21 00:00:02</t>
  </si>
  <si>
    <t>[2021-04-29 10:29:41.909]  Event stop time:       01/26/21 00:00:29</t>
  </si>
  <si>
    <t>[2021-04-29 10:29:41.974]  Event duration:        27 seconds</t>
  </si>
  <si>
    <t xml:space="preserve">[2021-04-29 10:29:42.005] </t>
  </si>
  <si>
    <t>[2021-04-29 10:29:42.005]       Aligned    Battery Temperature</t>
  </si>
  <si>
    <t>[2021-04-29 10:29:42.052]  Start:     Y       18.6      1.5°C</t>
  </si>
  <si>
    <t>[2021-04-29 10:29:42.085]  Stop:      Y       18.3      1.6°C</t>
  </si>
  <si>
    <t xml:space="preserve">[2021-04-29 10:29:42.133] </t>
  </si>
  <si>
    <t>[2021-04-29 10:29:42.133]  Event 16</t>
  </si>
  <si>
    <t xml:space="preserve">[2021-04-29 10:29:42.150] </t>
  </si>
  <si>
    <t>[2021-04-29 10:29:42.150]  Scheduled start time:  02/05/21 00:00:00</t>
  </si>
  <si>
    <t>[2021-04-29 10:29:42.211]  Event start time:      02/05/21 00:00:02</t>
  </si>
  <si>
    <t>[2021-04-29 10:29:42.274]  Event stop time:       02/05/21 00:00:29</t>
  </si>
  <si>
    <t>[2021-04-29 10:29:42.325]  Event duration:        27 seconds</t>
  </si>
  <si>
    <t xml:space="preserve">[2021-04-29 10:29:42.371] </t>
  </si>
  <si>
    <t>[2021-04-29 10:29:42.373]       Aligned    Battery Temperature</t>
  </si>
  <si>
    <t>[2021-04-29 10:29:42.405]  Start:     Y       18.6      1.4°C</t>
  </si>
  <si>
    <t>[2021-04-29 10:29:42.451]  Stop:      Y       18.2      1.6°C</t>
  </si>
  <si>
    <t xml:space="preserve">[2021-04-29 10:29:42.486] </t>
  </si>
  <si>
    <t>[2021-04-29 10:29:42.499]  Event 17</t>
  </si>
  <si>
    <t xml:space="preserve">[2021-04-29 10:29:42.499] </t>
  </si>
  <si>
    <t>[2021-04-29 10:29:42.499]  Scheduled start time:  02/15/21 00:00:00</t>
  </si>
  <si>
    <t>[2021-04-29 10:29:42.564]  Event start time:      02/15/21 00:00:02</t>
  </si>
  <si>
    <t>[2021-04-29 10:29:42.629]  Event stop time:       02/15/21 00:00:29</t>
  </si>
  <si>
    <t>[2021-04-29 10:29:42.693]  Event duration:        27 seconds</t>
  </si>
  <si>
    <t xml:space="preserve">[2021-04-29 10:29:42.725] </t>
  </si>
  <si>
    <t>[2021-04-29 10:29:42.725]       Aligned    Battery Temperature</t>
  </si>
  <si>
    <t>[2021-04-29 10:29:42.772]  Start:     Y       18.6      1.4°C</t>
  </si>
  <si>
    <t>[2021-04-29 10:29:42.818]  Stop:      Y       18.2      1.5°C</t>
  </si>
  <si>
    <t xml:space="preserve">[2021-04-29 10:29:42.852] </t>
  </si>
  <si>
    <t>[2021-04-29 10:29:42.852]  Event 18</t>
  </si>
  <si>
    <t xml:space="preserve">[2021-04-29 10:29:42.868] </t>
  </si>
  <si>
    <t>[2021-04-29 10:29:42.868]  Scheduled start time:  02/25/21 00:00:00</t>
  </si>
  <si>
    <t>[2021-04-29 10:29:42.930]  Event start time:      02/25/21 00:00:02</t>
  </si>
  <si>
    <t>[2021-04-29 10:29:42.996]  Event stop time:       02/25/21 00:00:29</t>
  </si>
  <si>
    <t>[2021-04-29 10:29:43.055]  Event duration:        27 seconds</t>
  </si>
  <si>
    <t xml:space="preserve">[2021-04-29 10:29:43.093] </t>
  </si>
  <si>
    <t>[2021-04-29 10:29:43.093]       Aligned    Battery Temperature</t>
  </si>
  <si>
    <t>[2021-04-29 10:29:43.131]  Start:     Y       18.5      1.4°C</t>
  </si>
  <si>
    <t>[2021-04-29 10:29:43.172]  Stop:      Y       18.2      1.6°C</t>
  </si>
  <si>
    <t xml:space="preserve">[2021-04-29 10:29:43.222] </t>
  </si>
  <si>
    <t>[2021-04-29 10:29:43.222]  Event 19</t>
  </si>
  <si>
    <t>[2021-04-29 10:29:43.233]  Scheduled start time:  03/07/21 00:00:00</t>
  </si>
  <si>
    <t>[2021-04-29 10:29:43.284]  Event start time:      03/07/21 00:00:02</t>
  </si>
  <si>
    <t>[2021-04-29 10:29:43.348]  Event stop time:       03/07/21 00:00:29</t>
  </si>
  <si>
    <t>[2021-04-29 10:29:43.413]  Event duration:        27 seconds</t>
  </si>
  <si>
    <t xml:space="preserve">[2021-04-29 10:29:43.445] </t>
  </si>
  <si>
    <t>[2021-04-29 10:29:43.457]       Aligned    Battery Temperature</t>
  </si>
  <si>
    <t>[2021-04-29 10:29:43.492]  Start:     Y       18.5      1.4°C</t>
  </si>
  <si>
    <t>[2021-04-29 10:29:43.539]  Stop:      Y       18.1      1.6°C</t>
  </si>
  <si>
    <t xml:space="preserve">[2021-04-29 10:29:43.576] </t>
  </si>
  <si>
    <t>[2021-04-29 10:29:43.576]  Event 20</t>
  </si>
  <si>
    <t xml:space="preserve">[2021-04-29 10:29:43.588] </t>
  </si>
  <si>
    <t>[2021-04-29 10:29:43.588]  Scheduled start time:  03/17/21 00:00:00</t>
  </si>
  <si>
    <t>[2021-04-29 10:29:43.651]  Event start time:      03/17/21 00:00:02</t>
  </si>
  <si>
    <t>[2021-04-29 10:29:43.715]  Event stop time:       03/17/21 00:00:29</t>
  </si>
  <si>
    <t>[2021-04-29 10:29:43.779]  Event duration:        27 seconds</t>
  </si>
  <si>
    <t xml:space="preserve">[2021-04-29 10:29:43.812] </t>
  </si>
  <si>
    <t>[2021-04-29 10:29:43.812]       Aligned    Battery Temperature</t>
  </si>
  <si>
    <t>[2021-04-29 10:29:43.860]  Start:     Y       18.4      1.5°C</t>
  </si>
  <si>
    <t>[2021-04-29 10:29:43.891]  Stop:      Y       18.1      1.6°C</t>
  </si>
  <si>
    <t xml:space="preserve">[2021-04-29 10:29:43.940] </t>
  </si>
  <si>
    <t>[2021-04-29 10:29:43.940]  Event 21</t>
  </si>
  <si>
    <t xml:space="preserve">[2021-04-29 10:29:43.956] </t>
  </si>
  <si>
    <t>[2021-04-29 10:29:43.956]  Scheduled start time:  03/27/21 00:00:00</t>
  </si>
  <si>
    <t>[2021-04-29 10:29:44.017]  Event start time:      03/27/21 00:00:02</t>
  </si>
  <si>
    <t>[2021-04-29 10:29:44.067]  Event stop time:       03/27/21 00:00:29</t>
  </si>
  <si>
    <t>[2021-04-29 10:29:44.131]  Event duration:        27 seconds</t>
  </si>
  <si>
    <t xml:space="preserve">[2021-04-29 10:29:44.180] </t>
  </si>
  <si>
    <t>[2021-04-29 10:29:44.180]       Aligned    Battery Temperature</t>
  </si>
  <si>
    <t>[2021-04-29 10:29:44.212]  Start:     Y       18.4      1.5°C</t>
  </si>
  <si>
    <t>[2021-04-29 10:29:44.260]  Stop:      Y       18.0      1.6°C</t>
  </si>
  <si>
    <t xml:space="preserve">[2021-04-29 10:29:44.291] </t>
  </si>
  <si>
    <t>[2021-04-29 10:29:44.291]  Event 22</t>
  </si>
  <si>
    <t xml:space="preserve">[2021-04-29 10:29:44.308] </t>
  </si>
  <si>
    <t>[2021-04-29 10:29:44.308]  Scheduled start time:  04/06/21 00:00:00</t>
  </si>
  <si>
    <t>[2021-04-29 10:29:44.372]  Event start time:      04/06/21 00:00:02</t>
  </si>
  <si>
    <t>[2021-04-29 10:29:44.435]  Event stop time:       04/06/21 00:00:29</t>
  </si>
  <si>
    <t>[2021-04-29 10:29:44.498]  Event duration:        27 seconds</t>
  </si>
  <si>
    <t xml:space="preserve">[2021-04-29 10:29:44.531] </t>
  </si>
  <si>
    <t>[2021-04-29 10:29:44.531]       Aligned    Battery Temperature</t>
  </si>
  <si>
    <t>[2021-04-29 10:29:44.577]  Start:     Y       18.4      1.5°C</t>
  </si>
  <si>
    <t>[2021-04-29 10:29:44.609]  Stop:      Y       18.0      1.6°C</t>
  </si>
  <si>
    <t xml:space="preserve">[2021-04-29 10:29:44.657] </t>
  </si>
  <si>
    <t>[2021-04-29 10:29:44.673] 04/06/21 00:00:32 Shutdown condition: Schedule completed.</t>
  </si>
  <si>
    <t xml:space="preserve">[2021-04-29 10:29:44.739] </t>
  </si>
  <si>
    <t>[2021-04-29 10:29:44.739] ________________________________________________________________</t>
  </si>
  <si>
    <t>[2021-04-29 10:29:44.802] Configuration: PST-21                   CF2 V3_09 of May 16 2014</t>
  </si>
  <si>
    <t xml:space="preserve">[2021-04-29 10:29:44.883] </t>
  </si>
  <si>
    <t>[2021-04-29 10:29:44.883]                _________________________________</t>
  </si>
  <si>
    <t>[2021-04-29 10:29:44.930]                    Offload/Display Data File</t>
  </si>
  <si>
    <t>[2021-04-29 10:29:44.979]                _________________________________</t>
  </si>
  <si>
    <t>[2021-04-29 10:29:45.043]                    Thu Apr 29 00:28:45 2021</t>
  </si>
  <si>
    <t xml:space="preserve">[2021-04-29 10:29:45.092] </t>
  </si>
  <si>
    <t xml:space="preserve">[2021-04-29 10:29:45.092]                 &lt;1&gt; Display all data     </t>
  </si>
  <si>
    <t>[2021-04-29 10:29:45.139]                 &lt;2&gt; Display backup EEPROM</t>
  </si>
  <si>
    <t xml:space="preserve">[2021-04-29 10:29:45.187]                 &lt;M&gt; Main Menu            </t>
  </si>
  <si>
    <t xml:space="preserve">[2021-04-29 10:29:45.219] </t>
  </si>
  <si>
    <t xml:space="preserve">[2021-04-29 10:29:45.232]                 Selection [1] ? </t>
  </si>
  <si>
    <t xml:space="preserve">[2021-04-29 10:29:53.951] </t>
  </si>
  <si>
    <t>[2021-04-29 10:29:53.951] ________________________________________________________________</t>
  </si>
  <si>
    <t>[2021-04-29 10:29:54.019] Configuration: PST-21                   CF2 V3_09 of May 16 2014</t>
  </si>
  <si>
    <t xml:space="preserve">[2021-04-29 10:29:54.093] </t>
  </si>
  <si>
    <t>[2021-04-29 10:29:54.093]                McLane Research Laboratories, Inc.</t>
  </si>
  <si>
    <t>[2021-04-29 10:29:54.140]                      ParFlux Sediment Trap</t>
  </si>
  <si>
    <t>[2021-04-29 10:29:54.188]                            ML12993-01</t>
  </si>
  <si>
    <t>[2021-04-29 10:29:54.236]                _________________________________</t>
  </si>
  <si>
    <t>[2021-04-29 10:29:54.285]                            Main Menu</t>
  </si>
  <si>
    <t>[2021-04-29 10:29:54.317]                _________________________________</t>
  </si>
  <si>
    <t>[2021-04-29 10:29:54.380]                    Thu Apr 29 00:28:55 2021</t>
  </si>
  <si>
    <t xml:space="preserve">[2021-04-29 10:29:54.429] </t>
  </si>
  <si>
    <t>[2021-04-29 10:29:54.429]            &lt;1&gt; Set Time          &lt;5&gt; Create Schedule</t>
  </si>
  <si>
    <t xml:space="preserve">[2021-04-29 10:29:54.492]            &lt;2&gt; Diagnostics       &lt;6&gt; Deploy System  </t>
  </si>
  <si>
    <t xml:space="preserve">[2021-04-29 10:29:54.541]            &lt;3&gt; Fill Containers   &lt;7&gt; Offload Data   </t>
  </si>
  <si>
    <t xml:space="preserve">[2021-04-29 10:29:54.604]            &lt;4&gt; Sleep             &lt;8&gt; Contact McLane </t>
  </si>
  <si>
    <t xml:space="preserve">[2021-04-29 10:29:54.734] </t>
  </si>
  <si>
    <t>[2021-04-29 10:29:54.736]                 Selection [] ? 4</t>
  </si>
  <si>
    <t xml:space="preserve">[2021-04-29 10:29:56.859] </t>
  </si>
  <si>
    <t xml:space="preserve">[2021-04-29 10:29:57.050] 04/29/21 00:28:58 Suspended ... </t>
  </si>
  <si>
    <t>McLane-PARFLUX-Mark78H-21 ; frame# 12419-02, controller# 12419-02 and motor# 12419-02 Cup set ABx21</t>
  </si>
  <si>
    <t>AB 1</t>
  </si>
  <si>
    <t>McLane-PARFLUX-Mark78H-21 ; frame# 12419-01, controller# 12419-01 and Motor # 12419-01 Cup set AAx21</t>
  </si>
  <si>
    <t>AA 1</t>
  </si>
  <si>
    <t>AC 1</t>
  </si>
  <si>
    <t>McLane-PARFLUX-Mark78H-21 ; frame # 12993-01, controller # 12993-01 and motor # 12993-01 Cup set ACx21</t>
  </si>
  <si>
    <t>Sal</t>
  </si>
  <si>
    <t>temp</t>
  </si>
  <si>
    <t>Date</t>
  </si>
  <si>
    <t>Temp</t>
  </si>
  <si>
    <t>pH</t>
  </si>
  <si>
    <t>Analyst</t>
  </si>
  <si>
    <t>Comment</t>
  </si>
  <si>
    <t>Calibrations</t>
  </si>
  <si>
    <t>Seven Compact conductivity meter</t>
  </si>
  <si>
    <t>Depth</t>
  </si>
  <si>
    <r>
      <t>[</t>
    </r>
    <r>
      <rPr>
        <sz val="10"/>
        <rFont val="Calibri"/>
        <family val="2"/>
      </rPr>
      <t>°</t>
    </r>
    <r>
      <rPr>
        <sz val="12"/>
        <rFont val="Calibri"/>
        <family val="2"/>
        <charset val="204"/>
        <scheme val="minor"/>
      </rPr>
      <t>C]</t>
    </r>
  </si>
  <si>
    <t>replicate</t>
  </si>
  <si>
    <t>date</t>
  </si>
  <si>
    <t>diff</t>
  </si>
  <si>
    <t>Hannah pH meter</t>
  </si>
  <si>
    <t>Pick up 25/04/2021 IN2021_V02</t>
  </si>
  <si>
    <t>saz22, 2020</t>
  </si>
  <si>
    <t>Post-recovery notes</t>
  </si>
  <si>
    <t>traps were deployed on the last day of the voyage due to bad weather delays.</t>
  </si>
  <si>
    <t>Traps were moved up to the lab with cups still attached (Thur. 29/04/21) and I removed the cups Fr. 20/4/21 and put them in the IMAS fridge.</t>
  </si>
  <si>
    <t>Trap 2000m was disassembled and cleaned Mo. 3/5/21 (i.e. clean funnel, soak all screws and disassemble carousel and soak in Decon)</t>
  </si>
  <si>
    <t>large "shrimp"</t>
  </si>
  <si>
    <t>&lt;1mm fraction across 3 jars</t>
  </si>
  <si>
    <t>baby octopus?</t>
  </si>
  <si>
    <r>
      <t>IN2019_V02, carboy 1, ~10L + 10g Borate, 46</t>
    </r>
    <r>
      <rPr>
        <sz val="11"/>
        <color theme="1"/>
        <rFont val="Calibri"/>
        <family val="2"/>
      </rPr>
      <t>˚</t>
    </r>
    <r>
      <rPr>
        <sz val="11"/>
        <color theme="1"/>
        <rFont val="Calibri"/>
        <family val="2"/>
        <scheme val="minor"/>
      </rPr>
      <t xml:space="preserve"> 51.53, 141˚ 38.61, UTC 03:50 20/03/2019</t>
    </r>
  </si>
  <si>
    <r>
      <t>IN2020_V09, UTC 29/08/20 UTC 03:37, ~10L + 10g Borate, -46</t>
    </r>
    <r>
      <rPr>
        <sz val="11"/>
        <color theme="1"/>
        <rFont val="Calibri"/>
        <family val="2"/>
      </rPr>
      <t>˚ 897 142˚</t>
    </r>
    <r>
      <rPr>
        <sz val="11"/>
        <color theme="1"/>
        <rFont val="Calibri"/>
        <family val="2"/>
        <scheme val="minor"/>
      </rPr>
      <t>404</t>
    </r>
  </si>
  <si>
    <t>Borax used: Sigma-Aldrich B6768-500g, Lot# SLBM6878V P.Code 1002037845</t>
  </si>
  <si>
    <r>
      <t>IN2020_V09, UTC 29/08/20 UTC 03:19, #4, ~10L + 10g Borate, -46</t>
    </r>
    <r>
      <rPr>
        <sz val="11"/>
        <color theme="1"/>
        <rFont val="Calibri"/>
        <family val="2"/>
      </rPr>
      <t>˚ 897 142˚</t>
    </r>
    <r>
      <rPr>
        <sz val="11"/>
        <color theme="1"/>
        <rFont val="Calibri"/>
        <family val="2"/>
        <scheme val="minor"/>
      </rPr>
      <t>404</t>
    </r>
  </si>
  <si>
    <t>area</t>
  </si>
  <si>
    <t>comments</t>
  </si>
  <si>
    <t>Time</t>
  </si>
  <si>
    <t>Mass flux</t>
  </si>
  <si>
    <t>Mass QC</t>
  </si>
  <si>
    <t>jar of</t>
  </si>
  <si>
    <t>C%</t>
  </si>
  <si>
    <t>H%</t>
  </si>
  <si>
    <t>N%</t>
  </si>
  <si>
    <t>CHN qc</t>
  </si>
  <si>
    <t>comments2</t>
  </si>
  <si>
    <t>Dates</t>
  </si>
  <si>
    <t>Comments</t>
  </si>
  <si>
    <t>proportion</t>
  </si>
  <si>
    <t>PN/PSiO2</t>
  </si>
  <si>
    <t>TPC/PSiO2</t>
  </si>
  <si>
    <t>CaCO3</t>
  </si>
  <si>
    <t>PIC</t>
  </si>
  <si>
    <t>POC</t>
  </si>
  <si>
    <t>sum</t>
  </si>
  <si>
    <t>QC</t>
  </si>
  <si>
    <t>POC/PN</t>
  </si>
  <si>
    <t>eg FSW batch</t>
  </si>
  <si>
    <t>open</t>
  </si>
  <si>
    <t>= cup_mass/area/time_open</t>
  </si>
  <si>
    <t>powder</t>
  </si>
  <si>
    <t>PC</t>
  </si>
  <si>
    <t>PN</t>
  </si>
  <si>
    <t>netcdf flag</t>
  </si>
  <si>
    <t>UTC</t>
  </si>
  <si>
    <t>normalised</t>
  </si>
  <si>
    <t>BSi</t>
  </si>
  <si>
    <t>BSiO2</t>
  </si>
  <si>
    <t>mass ratio</t>
  </si>
  <si>
    <t>CaCO3+opal + (POM=2.2*POC) + litho 3.7%</t>
  </si>
  <si>
    <t>Mol/mol</t>
  </si>
  <si>
    <t>&lt;1mm</t>
  </si>
  <si>
    <t/>
  </si>
  <si>
    <t>Cup open</t>
  </si>
  <si>
    <t>Cup close</t>
  </si>
  <si>
    <t>midpoint</t>
  </si>
  <si>
    <t>cumulative</t>
  </si>
  <si>
    <t>=height / 0.5m2 / open_time</t>
  </si>
  <si>
    <t>Redfield 2.79 POM opal is BSiO2*1.11</t>
  </si>
  <si>
    <t>m2</t>
  </si>
  <si>
    <t>days</t>
  </si>
  <si>
    <t>mg/m2/day</t>
  </si>
  <si>
    <t>g/m2/yr</t>
  </si>
  <si>
    <t>% w/w</t>
  </si>
  <si>
    <t>mm/m2/day</t>
  </si>
  <si>
    <t>w/w</t>
  </si>
  <si>
    <t>%</t>
  </si>
  <si>
    <t>at END event</t>
  </si>
  <si>
    <t>at open event</t>
  </si>
  <si>
    <t>QC threshold 10%</t>
  </si>
  <si>
    <t>SAZ 22</t>
  </si>
  <si>
    <t>recovery IN2021_V02</t>
  </si>
  <si>
    <t>COUNT</t>
  </si>
  <si>
    <t>good cups</t>
  </si>
  <si>
    <t>SUM from subtotals</t>
  </si>
  <si>
    <t>SUM Mclane from subs</t>
  </si>
  <si>
    <t>good</t>
  </si>
  <si>
    <t>under funnel</t>
  </si>
  <si>
    <t>COUNT from data (as a check)</t>
  </si>
  <si>
    <t>mass/trap</t>
  </si>
  <si>
    <t>time open</t>
  </si>
  <si>
    <t>mass flux</t>
  </si>
  <si>
    <t>mg</t>
  </si>
  <si>
    <t>% of year</t>
  </si>
  <si>
    <t>Salinity</t>
  </si>
  <si>
    <r>
      <t>Calibrated with 12.8m</t>
    </r>
    <r>
      <rPr>
        <sz val="12"/>
        <rFont val="Calibri"/>
        <family val="2"/>
        <charset val="204"/>
        <scheme val="minor"/>
      </rPr>
      <t>S/cm standard</t>
    </r>
  </si>
  <si>
    <t>reading</t>
  </si>
  <si>
    <t>temperature</t>
  </si>
  <si>
    <t>RSE</t>
  </si>
  <si>
    <t>stdev.p</t>
  </si>
  <si>
    <t>50mS/cm</t>
  </si>
  <si>
    <t>mS/cm</t>
  </si>
  <si>
    <t>53mS/cm</t>
  </si>
  <si>
    <t>12.8mS/cm</t>
  </si>
  <si>
    <t>Salinity check at the end of all measurements</t>
  </si>
  <si>
    <t>pH check at the end of all measurements</t>
  </si>
  <si>
    <t>CC: 0.551808/cm</t>
  </si>
  <si>
    <t>Prob condition: 70%</t>
  </si>
  <si>
    <t>average slope: 96.3%</t>
  </si>
  <si>
    <t>pH check at the start of all measurements</t>
  </si>
  <si>
    <t>average</t>
  </si>
  <si>
    <t>Trap</t>
  </si>
  <si>
    <t>frac</t>
  </si>
  <si>
    <t>mass</t>
  </si>
  <si>
    <t xml:space="preserve">date </t>
  </si>
  <si>
    <t>RH</t>
  </si>
  <si>
    <t>Filter</t>
  </si>
  <si>
    <t>Filter used</t>
  </si>
  <si>
    <t>Who</t>
  </si>
  <si>
    <t>difference</t>
  </si>
  <si>
    <t>2019 saz21</t>
  </si>
  <si>
    <t>#</t>
  </si>
  <si>
    <t>start</t>
  </si>
  <si>
    <t>end</t>
  </si>
  <si>
    <t>filt</t>
  </si>
  <si>
    <t>filt+sed</t>
  </si>
  <si>
    <t>dry</t>
  </si>
  <si>
    <t>weigh</t>
  </si>
  <si>
    <t>dC</t>
  </si>
  <si>
    <t>sn</t>
  </si>
  <si>
    <t>sed</t>
  </si>
  <si>
    <t>sed 10/10</t>
  </si>
  <si>
    <t>sed 1/10</t>
  </si>
  <si>
    <t>diff between splits</t>
  </si>
  <si>
    <t>scintillation vial</t>
  </si>
  <si>
    <t>filter after second drying</t>
  </si>
  <si>
    <t>filt after scraping sediment off</t>
  </si>
  <si>
    <t>loss</t>
  </si>
  <si>
    <t>filter+sed</t>
  </si>
  <si>
    <t>filter</t>
  </si>
  <si>
    <t>Sterlitech Polycarbonate (PCTE) Membrane filters, 0.4um, 47mm</t>
  </si>
  <si>
    <t>Balance used</t>
  </si>
  <si>
    <t>Mettler Toledo AGU 285</t>
  </si>
  <si>
    <t>last calibrated 2/2/21</t>
  </si>
  <si>
    <t>test weights</t>
  </si>
  <si>
    <t>humidity</t>
  </si>
  <si>
    <t>34%-33%</t>
  </si>
  <si>
    <t>Temperature</t>
  </si>
  <si>
    <t>20.9C - 21.9C</t>
  </si>
  <si>
    <t>10mg</t>
  </si>
  <si>
    <t>1st round</t>
  </si>
  <si>
    <t>2nd round</t>
  </si>
  <si>
    <t>3rd round</t>
  </si>
  <si>
    <t>100mg</t>
  </si>
  <si>
    <t>200mg</t>
  </si>
  <si>
    <t>500mg</t>
  </si>
  <si>
    <t>1000mg</t>
  </si>
  <si>
    <t>10000mg</t>
  </si>
  <si>
    <t>50000mg</t>
  </si>
  <si>
    <t>CC: 0.549754/cm, 25.2C</t>
  </si>
  <si>
    <t>Prob condition: 80%</t>
  </si>
  <si>
    <t>average slope: 97.1%</t>
  </si>
  <si>
    <t>PCT0447100, Lot: M/240419/R/2, opened June '20 CWE</t>
  </si>
  <si>
    <t>12_a</t>
  </si>
  <si>
    <t>11_b</t>
  </si>
  <si>
    <t>11_a</t>
  </si>
  <si>
    <t>12_b</t>
  </si>
  <si>
    <t>13_a</t>
  </si>
  <si>
    <t>13_b</t>
  </si>
  <si>
    <t>16+17</t>
  </si>
  <si>
    <t>into oven at 1100 10/06/2021 @ 60C</t>
  </si>
  <si>
    <t>into oven at 1340 10/06/2021 @ 60C</t>
  </si>
  <si>
    <t>into oven at 1350 10/06/2021 @ 60C</t>
  </si>
  <si>
    <t>16 and 17 were combined at filtration stage (splits 4-10 each) due to low sample volume</t>
  </si>
  <si>
    <t>40%-40%</t>
  </si>
  <si>
    <t>22.7C-23.1C</t>
  </si>
  <si>
    <t>NA</t>
  </si>
  <si>
    <t>14_a</t>
  </si>
  <si>
    <t>14_b</t>
  </si>
  <si>
    <t>into oven at 0915 18/06/2021 @ 60C</t>
  </si>
  <si>
    <t>into oven at 1020 18/06/2021 @ 60C</t>
  </si>
  <si>
    <t>30%-29%</t>
  </si>
  <si>
    <t>23.1C-23.4C</t>
  </si>
  <si>
    <t>into oven at 1020 18/06/2021 @ 60C, fractsion 4-5 some drops were lost at the start of filtration, so the cup weight will be back calculated ONLY from the second filter!</t>
  </si>
  <si>
    <t>into oven at 0845 22/06/2021 @ 60C</t>
  </si>
  <si>
    <t>30%-30%</t>
  </si>
  <si>
    <t>23.9C-24.0C</t>
  </si>
  <si>
    <t>29%-29%</t>
  </si>
  <si>
    <t>22.8C-23.02C</t>
  </si>
  <si>
    <t>copied from C:\Users\cawynn\Cloudstor\sediment trap lab proc\RAW data\CHN\saz22_2020, file name "Elemental Analysis SAZ22_2020 - July 2021.xlsx"</t>
  </si>
  <si>
    <t>SAZ22_2020-A1</t>
  </si>
  <si>
    <t>sAZ22_2020-A2</t>
  </si>
  <si>
    <t>SAZ22_2020-A3</t>
  </si>
  <si>
    <t>SAZ22_2020-A4</t>
  </si>
  <si>
    <t>SAZ22_2020-A5</t>
  </si>
  <si>
    <t>SAZ22_2020-A6</t>
  </si>
  <si>
    <t>SAZ22_2020-A7</t>
  </si>
  <si>
    <t>SAZ22_2020-A8</t>
  </si>
  <si>
    <t>SAZ22_2020-A9</t>
  </si>
  <si>
    <t>SAZ22_2020-A10</t>
  </si>
  <si>
    <t>SAZ22_2020-A11</t>
  </si>
  <si>
    <t>SAZ22_2020-A12</t>
  </si>
  <si>
    <t>STD128</t>
  </si>
  <si>
    <t>SAZ22_2020-B1</t>
  </si>
  <si>
    <t>SAZ22_2020-B2</t>
  </si>
  <si>
    <t>SAZ22_2020-B3</t>
  </si>
  <si>
    <t>SAZ22_2020-B4</t>
  </si>
  <si>
    <t>SAZ22_2020-B5</t>
  </si>
  <si>
    <t>SAZ22_2020-B6</t>
  </si>
  <si>
    <t>SAZ22_2020-B7</t>
  </si>
  <si>
    <t>SAZ22_2020-B8</t>
  </si>
  <si>
    <t>SAZ22_2020-B9</t>
  </si>
  <si>
    <t>SAZ22_2020-B10</t>
  </si>
  <si>
    <t>SAZ22_2020-B11</t>
  </si>
  <si>
    <t>SAZ22_2020-B12</t>
  </si>
  <si>
    <t>STD129</t>
  </si>
  <si>
    <t>SAZ22_2020-C1</t>
  </si>
  <si>
    <t>SAZ22_2020-C2</t>
  </si>
  <si>
    <t>SAZ22_2020-C3</t>
  </si>
  <si>
    <t>SAZ22_2020-C4</t>
  </si>
  <si>
    <t>SAZ22_2020-C5</t>
  </si>
  <si>
    <t>SAZ22_2020-C6</t>
  </si>
  <si>
    <t>SAZ22_2020-C7</t>
  </si>
  <si>
    <t>SAZ22_2020-C8</t>
  </si>
  <si>
    <t>SAZ22_2020-C9</t>
  </si>
  <si>
    <t>SAZ22_2020-C10</t>
  </si>
  <si>
    <t>SAZ22_2020-C11</t>
  </si>
  <si>
    <t>SAZ22_2020-C12</t>
  </si>
  <si>
    <t>STD130</t>
  </si>
  <si>
    <t>SAZ22_2020-D1</t>
  </si>
  <si>
    <t>SAZ22_2020-D2</t>
  </si>
  <si>
    <t>SAZ22_2020-D3</t>
  </si>
  <si>
    <t>SAZ22_2020-D4</t>
  </si>
  <si>
    <t>SAZ22_2020-D5</t>
  </si>
  <si>
    <t>SAZ22_2020-D6</t>
  </si>
  <si>
    <t>SAZ22_2020-D7</t>
  </si>
  <si>
    <t>SAZ22_2020-D8</t>
  </si>
  <si>
    <t>SAZ22_2020-D9</t>
  </si>
  <si>
    <t>SAZ22_2020-D10</t>
  </si>
  <si>
    <t>SAZ22_2020-D11</t>
  </si>
  <si>
    <t>SAZ22_2020-D12</t>
  </si>
  <si>
    <t>STD131</t>
  </si>
  <si>
    <t>SAZ22_2020-E1</t>
  </si>
  <si>
    <t>SAZ22_2020-E2</t>
  </si>
  <si>
    <t>SAZ22_2020-E3</t>
  </si>
  <si>
    <t>SAZ22_2020-E4</t>
  </si>
  <si>
    <t>SAZ22_2020-E5</t>
  </si>
  <si>
    <t>SAZ22_2020-E6</t>
  </si>
  <si>
    <t>SAZ22_2020-E7</t>
  </si>
  <si>
    <t>SAZ22_2020-E8</t>
  </si>
  <si>
    <t>SAZ22_2020-E9</t>
  </si>
  <si>
    <t>SAZ22_2020-E10</t>
  </si>
  <si>
    <t>SAZ22_2020-E11</t>
  </si>
  <si>
    <t>SAZ22_2020-E12</t>
  </si>
  <si>
    <t>STD132</t>
  </si>
  <si>
    <t>SAZ22_2020-F1</t>
  </si>
  <si>
    <t>SAZ22_2020-F2</t>
  </si>
  <si>
    <t>SAZ22_2020-F3</t>
  </si>
  <si>
    <t>SAZ22_2020-F4</t>
  </si>
  <si>
    <t>SAZ22_2020-F5</t>
  </si>
  <si>
    <t>SAZ22_2020-F6</t>
  </si>
  <si>
    <t>SAZ22_2020-F7</t>
  </si>
  <si>
    <t>SAZ22_2020-F8</t>
  </si>
  <si>
    <t>SAZ22_2020-F9</t>
  </si>
  <si>
    <t>SAZ22_2020-F10</t>
  </si>
  <si>
    <t>SAZ22_2020-F11</t>
  </si>
  <si>
    <t>SAZ22_2020-F12</t>
  </si>
  <si>
    <t>STD133</t>
  </si>
  <si>
    <t>SAZ22_2020-G1</t>
  </si>
  <si>
    <t>SAZ22_2020-G2</t>
  </si>
  <si>
    <t>SAZ22_2020-G3</t>
  </si>
  <si>
    <t>SAZ22_2020-G4</t>
  </si>
  <si>
    <t>SAZ22_2020-G5</t>
  </si>
  <si>
    <t xml:space="preserve">The analysis for total nitrogen, carbon and hydrogen was determined by Dr Thomas Rodemann </t>
  </si>
  <si>
    <t>at the Central Science Laboratory, University of Tasmania, using a Thermo Finnigan EA 1112 Series Flash Elemental Analyser.</t>
  </si>
  <si>
    <t>weight [ug]</t>
  </si>
  <si>
    <t>Sample</t>
  </si>
  <si>
    <t>year</t>
  </si>
  <si>
    <t>C/N</t>
  </si>
  <si>
    <t>empty capsule only</t>
  </si>
  <si>
    <t>16_a</t>
  </si>
  <si>
    <t>PACS-2 #1</t>
  </si>
  <si>
    <t>16_b</t>
  </si>
  <si>
    <t>PACS-2 #2</t>
  </si>
  <si>
    <t>15_a</t>
  </si>
  <si>
    <t>15_b</t>
  </si>
  <si>
    <t>Acetanilide #1</t>
  </si>
  <si>
    <t>16&amp;17</t>
  </si>
  <si>
    <t>2_a</t>
  </si>
  <si>
    <t>2_b</t>
  </si>
  <si>
    <t>Acetanilide #2</t>
  </si>
  <si>
    <t>PACS-2 #3</t>
  </si>
  <si>
    <t>PACS-2 #4</t>
  </si>
  <si>
    <t>Acetanilide #3</t>
  </si>
  <si>
    <t>Acetanilide #4</t>
  </si>
  <si>
    <t>%difference between duplicates</t>
  </si>
  <si>
    <t>%N</t>
  </si>
  <si>
    <t>%C</t>
  </si>
  <si>
    <t>PACS-2</t>
  </si>
  <si>
    <t>n=4</t>
  </si>
  <si>
    <t>% difference from mean</t>
  </si>
  <si>
    <t>Acetanilide</t>
  </si>
  <si>
    <t>SAZ22_2020_47 sediment trap samples</t>
  </si>
  <si>
    <t>PIC analysis</t>
  </si>
  <si>
    <t>Sercon, smooth wall, flat base, tin cups, 5.5x5mm, SC1109</t>
  </si>
  <si>
    <t>BN 364370, opened Feb '21 CWE</t>
  </si>
  <si>
    <t>date weighed</t>
  </si>
  <si>
    <t>ug</t>
  </si>
  <si>
    <t>22.6C-22.8C</t>
  </si>
  <si>
    <t>5_a</t>
  </si>
  <si>
    <t>5_b</t>
  </si>
  <si>
    <t>22.8C-23.2C</t>
  </si>
  <si>
    <t>29%-28%</t>
  </si>
  <si>
    <t>23.2C-23.5C</t>
  </si>
  <si>
    <t>copied from C:\Users\cawynn\OneDrive - University of Tasmania\sediment trap lab proc\RAW data\PIC, file name "PIC_SEDIMENT TRAP_RESULTS_CWE_2021.xls"</t>
  </si>
  <si>
    <t>Sample mass</t>
  </si>
  <si>
    <t>mass correction</t>
  </si>
  <si>
    <t>Blank</t>
  </si>
  <si>
    <t>Calculation from Standard Curve</t>
  </si>
  <si>
    <t>Calculation direct from raw figures</t>
  </si>
  <si>
    <t>Analytical precision calculation / standard error of regression</t>
  </si>
  <si>
    <t>Date Analysed</t>
  </si>
  <si>
    <t>Sample Number</t>
  </si>
  <si>
    <t>Sample Name</t>
  </si>
  <si>
    <t>corrected ug</t>
  </si>
  <si>
    <t>CaCO3 mass (ug)</t>
  </si>
  <si>
    <t>UIC Reading
(ug Carbon)</t>
  </si>
  <si>
    <t>ug C</t>
  </si>
  <si>
    <t>UIC Reading Subtract Blank
(ug Carbon)</t>
  </si>
  <si>
    <t>Estimate (ug CaCO3)</t>
  </si>
  <si>
    <t>% CaCO3</t>
  </si>
  <si>
    <t>%CaCO3</t>
  </si>
  <si>
    <t>Gas Flow Rate (ml/min)</t>
  </si>
  <si>
    <t>Heating Block Temperature (degrees C)</t>
  </si>
  <si>
    <t>Coulometer Cell Volume (mls)</t>
  </si>
  <si>
    <t>Sample Run Time</t>
  </si>
  <si>
    <t>Weighed by</t>
  </si>
  <si>
    <t>Analysed by</t>
  </si>
  <si>
    <t>Estimate (ug C) from calibration curve</t>
  </si>
  <si>
    <t>standard deviation about the regression</t>
  </si>
  <si>
    <t>max precision ugC</t>
  </si>
  <si>
    <t>min precision ugC</t>
  </si>
  <si>
    <t>max precision ugCaCO3</t>
  </si>
  <si>
    <t>FLAG</t>
  </si>
  <si>
    <t>Cell got to ~ 116mA during initial titration</t>
  </si>
  <si>
    <t>% average sample</t>
  </si>
  <si>
    <t>cup #</t>
  </si>
  <si>
    <t>std curve</t>
  </si>
  <si>
    <t>Ran the usual purge and acidify macro and the new 3min run time</t>
  </si>
  <si>
    <t>purged and acidified 24/08/2021, same cell as for previous run</t>
  </si>
  <si>
    <t>blank 1</t>
  </si>
  <si>
    <t>blank 2</t>
  </si>
  <si>
    <t>blank 3</t>
  </si>
  <si>
    <t>CaCO3 Std.1  239.2</t>
  </si>
  <si>
    <t>CaCO3 Std.2  1298.9</t>
  </si>
  <si>
    <t>CaCO3 was too low! And the result unreliable, hence I am taking it out for calculations!</t>
  </si>
  <si>
    <t>CaCO3 Std.3  1977.3</t>
  </si>
  <si>
    <t>CaCO3 Std.4  3347.8</t>
  </si>
  <si>
    <t>CaCO3 Std.5  4038.7</t>
  </si>
  <si>
    <t>blank 4</t>
  </si>
  <si>
    <t>blank 5</t>
  </si>
  <si>
    <t>1999_54_1500_14a</t>
  </si>
  <si>
    <t>blank 6</t>
  </si>
  <si>
    <t>blank 7</t>
  </si>
  <si>
    <t>47_3800_5</t>
  </si>
  <si>
    <t>47_3800_6</t>
  </si>
  <si>
    <t>47_3800_7</t>
  </si>
  <si>
    <t>47_3800_8</t>
  </si>
  <si>
    <t>47_3800_9</t>
  </si>
  <si>
    <t>47_3800_10</t>
  </si>
  <si>
    <t>47_3800_12a</t>
  </si>
  <si>
    <t>blank 8</t>
  </si>
  <si>
    <t>47_3800_11</t>
  </si>
  <si>
    <t>47_3800_12b</t>
  </si>
  <si>
    <t>47_3800_13</t>
  </si>
  <si>
    <t>47_3800_14</t>
  </si>
  <si>
    <t>47_3800_16</t>
  </si>
  <si>
    <t>47_3800_17</t>
  </si>
  <si>
    <t>47_3800_18</t>
  </si>
  <si>
    <t>blank 9</t>
  </si>
  <si>
    <t xml:space="preserve">CaCO3 Std.3  </t>
  </si>
  <si>
    <t>blank 10</t>
  </si>
  <si>
    <t>Cell got to ~ 98mA during initial titration</t>
  </si>
  <si>
    <t>purged and acidified 26/08/2021</t>
  </si>
  <si>
    <t>not happy with the calibration standard %CaCO3 calculations. There were all well above 100%. Balance was checked and is accurate. I will just run a calibration curve again to see if this problem persists.</t>
  </si>
  <si>
    <t>I worked out that the calibration issue I had perceived to be there was only an Excel copy and paste error in the formula. It wasn't real</t>
  </si>
  <si>
    <t>CaCO3 Std.1  240.9</t>
  </si>
  <si>
    <t>CaCO3 Std.2  1305.8</t>
  </si>
  <si>
    <t>CaCO3 Std.3  1863.1</t>
  </si>
  <si>
    <t>CaCO3 Std.4  2783.2</t>
  </si>
  <si>
    <t>CaCO3 Std.5  3812.1</t>
  </si>
  <si>
    <t>Ran the usual purge and acidify macro and the 3min run time marco.</t>
  </si>
  <si>
    <t>CaCO3 Std.1  230.6</t>
  </si>
  <si>
    <t>CaCO3 Std.2  936</t>
  </si>
  <si>
    <t>CaCO3 Std.3  2129.2</t>
  </si>
  <si>
    <t>CaCO3 Std.4  3198.4</t>
  </si>
  <si>
    <t>CaCO3 Std.5  3895.6</t>
  </si>
  <si>
    <t>47_3800_1</t>
  </si>
  <si>
    <t>47_3800_2</t>
  </si>
  <si>
    <t>47_3800_3</t>
  </si>
  <si>
    <t>47_3800_4</t>
  </si>
  <si>
    <t>47_3800_15a</t>
  </si>
  <si>
    <t>47_3800_19</t>
  </si>
  <si>
    <t>47_3800_20</t>
  </si>
  <si>
    <t>47_3800_21</t>
  </si>
  <si>
    <t>47_3800_15b</t>
  </si>
  <si>
    <t>47_2000_2</t>
  </si>
  <si>
    <t>47_2000_3</t>
  </si>
  <si>
    <t>47_2000_4</t>
  </si>
  <si>
    <t>47_2000_5</t>
  </si>
  <si>
    <t>47_2000_6</t>
  </si>
  <si>
    <t>purged and acidified o/n 29/08/2021</t>
  </si>
  <si>
    <t>CaCO3 Std.1  383.6</t>
  </si>
  <si>
    <t>CaCO3 Std.2  1121</t>
  </si>
  <si>
    <t>CaCO3 Std.3  1978</t>
  </si>
  <si>
    <t>CaCO3 Std.4  3258.1</t>
  </si>
  <si>
    <t>CaCO3 Std.5  3848.3</t>
  </si>
  <si>
    <t>47_2000_7</t>
  </si>
  <si>
    <t>47_2000_8</t>
  </si>
  <si>
    <t>47_2000_9</t>
  </si>
  <si>
    <t>47_2000_10</t>
  </si>
  <si>
    <t>47_2000_11a</t>
  </si>
  <si>
    <t>47_2000_12</t>
  </si>
  <si>
    <t>47_2000_13</t>
  </si>
  <si>
    <t>47_2000_11b</t>
  </si>
  <si>
    <t>47_2000_15</t>
  </si>
  <si>
    <t>47_2000_16</t>
  </si>
  <si>
    <t>47_2000_17</t>
  </si>
  <si>
    <t>47_2000_18</t>
  </si>
  <si>
    <t>47_2000_19</t>
  </si>
  <si>
    <t>47_2000_20</t>
  </si>
  <si>
    <t>Cell got to ~ 108mA during initial titration</t>
  </si>
  <si>
    <t>purged and acidified o/n 01/09/2021</t>
  </si>
  <si>
    <t>CaCO3 Std.1  464.4</t>
  </si>
  <si>
    <t>CaCO3 Std.2  1362.1</t>
  </si>
  <si>
    <t>CaCO3 Std.3  1952.2</t>
  </si>
  <si>
    <t>CaCO3 Std.4  3193.7</t>
  </si>
  <si>
    <t>CaCO3 Std.5  3708</t>
  </si>
  <si>
    <t>47_2000_21</t>
  </si>
  <si>
    <t>47_2000_1</t>
  </si>
  <si>
    <t>47_2000_14a</t>
  </si>
  <si>
    <t>47_1000_1</t>
  </si>
  <si>
    <t>47_1000_2</t>
  </si>
  <si>
    <t>47_1000_3</t>
  </si>
  <si>
    <t>47_1000_4</t>
  </si>
  <si>
    <t>47_2000_14b</t>
  </si>
  <si>
    <t>47_1000_6</t>
  </si>
  <si>
    <t>47_1000_7</t>
  </si>
  <si>
    <t>47_1000_8</t>
  </si>
  <si>
    <t>47_1000_9</t>
  </si>
  <si>
    <t>47_1000_10</t>
  </si>
  <si>
    <t>47_1000_11</t>
  </si>
  <si>
    <t>purged and acidified 02/09/2021, same cell as for previous run</t>
  </si>
  <si>
    <t>CaCO3 Std.1  307.1</t>
  </si>
  <si>
    <t>CaCO3 Std.2  778.7</t>
  </si>
  <si>
    <t>CaCO3 Std.3  2361.8</t>
  </si>
  <si>
    <t>CaCO3 Std.4  2834.8</t>
  </si>
  <si>
    <t>CaCO3 Std.5  3792.7</t>
  </si>
  <si>
    <t>47_1000_5a</t>
  </si>
  <si>
    <t>47_1000_12</t>
  </si>
  <si>
    <t>47_1000_13a</t>
  </si>
  <si>
    <t>47_1000_14</t>
  </si>
  <si>
    <t>47_1000_15</t>
  </si>
  <si>
    <t>47_1000_16&amp;17</t>
  </si>
  <si>
    <t>47_1000_5b</t>
  </si>
  <si>
    <t>47_1000_13b</t>
  </si>
  <si>
    <t>47_1000_18</t>
  </si>
  <si>
    <t>47_1000_19</t>
  </si>
  <si>
    <t>47_1000_20</t>
  </si>
  <si>
    <t>47_1000_21</t>
  </si>
  <si>
    <t>% of sample average</t>
  </si>
  <si>
    <t>ugC</t>
  </si>
  <si>
    <t>ugCaCO3</t>
  </si>
  <si>
    <t>% diff duplicates</t>
  </si>
  <si>
    <t>2 replicates</t>
  </si>
  <si>
    <t>n</t>
  </si>
  <si>
    <t>samples</t>
  </si>
  <si>
    <t>UIC ugC reading</t>
  </si>
  <si>
    <t>blanks</t>
  </si>
  <si>
    <t>CSIRO Hydrochemistry Data Report - 224</t>
  </si>
  <si>
    <t>Date Issued:</t>
  </si>
  <si>
    <t>05 NOV 2021</t>
  </si>
  <si>
    <t>CSIRO Hydrochemistry Laboratory</t>
  </si>
  <si>
    <t>Sample receipt date:</t>
  </si>
  <si>
    <t>Castray Esplanade</t>
  </si>
  <si>
    <t>Data analysis date:</t>
  </si>
  <si>
    <t>Hobart TAS 7000</t>
  </si>
  <si>
    <t>Sample retention*:</t>
  </si>
  <si>
    <t>05 MAY 2022</t>
  </si>
  <si>
    <t>Email: O&amp;AHydrochemistryFacility@csiro.au</t>
  </si>
  <si>
    <t>Client Details:</t>
  </si>
  <si>
    <t>Cathryn Wynn-Edwards</t>
  </si>
  <si>
    <t>Analysis Type:</t>
  </si>
  <si>
    <t>UTas</t>
  </si>
  <si>
    <t>Nutrient</t>
  </si>
  <si>
    <t>Hydrochem SOP 001-4</t>
  </si>
  <si>
    <t>Phone:</t>
  </si>
  <si>
    <t>Email: cathryn.wynnedwards@utas.edu.au</t>
  </si>
  <si>
    <t>Notes:</t>
  </si>
  <si>
    <t>Samples were diluted 1 in 10 in LNSW (0.57 uM Si - average of 3 readings)</t>
  </si>
  <si>
    <t>Jack McDonald</t>
  </si>
  <si>
    <t>Lab No.</t>
  </si>
  <si>
    <t>Site ID</t>
  </si>
  <si>
    <t>Nutrient ID</t>
  </si>
  <si>
    <t>Nutrient Bottle QC</t>
  </si>
  <si>
    <t>SilicatePROC_VALUE (µM)</t>
  </si>
  <si>
    <t>Good</t>
  </si>
  <si>
    <t>the results in the report have been calculated using the formula below.</t>
  </si>
  <si>
    <t>[final] = ([measured] x dilutionFactor)  –  ((dilutionFactor -1) x [MDL])</t>
  </si>
  <si>
    <t>blank #1</t>
  </si>
  <si>
    <t>blank #2</t>
  </si>
  <si>
    <t>blank #3</t>
  </si>
  <si>
    <t>blank #4</t>
  </si>
  <si>
    <t>copied from file "C:\Users\cawynn\OneDrive - University of Tasmania\sediment trap lab proc\RAW data\BSi\saz22_2020\Report_224.xls"</t>
  </si>
  <si>
    <t>digest date</t>
  </si>
  <si>
    <t>digest #</t>
  </si>
  <si>
    <t>PACS-2 CRM 11.08</t>
  </si>
  <si>
    <t>16 &amp; 17</t>
  </si>
  <si>
    <t>final results Silicate uM minus extraction blank average</t>
  </si>
  <si>
    <t>SiO2-Si umol</t>
  </si>
  <si>
    <t>Bsi ug</t>
  </si>
  <si>
    <t>BSiO2 ug</t>
  </si>
  <si>
    <t>Bsi %</t>
  </si>
  <si>
    <t>BsiO2 %</t>
  </si>
  <si>
    <t>raw data from 10mL extraction tube</t>
  </si>
  <si>
    <t>extraction blank average</t>
  </si>
  <si>
    <t>uM</t>
  </si>
  <si>
    <t>Silicate</t>
  </si>
  <si>
    <t>umol/L</t>
  </si>
  <si>
    <t>10ml per nutrient tube</t>
  </si>
  <si>
    <t>original digest volume 5ml, then 4ml taken off for anaysis</t>
  </si>
  <si>
    <t>Deployment</t>
  </si>
  <si>
    <t>sampleQC</t>
  </si>
  <si>
    <t>mass/cup</t>
  </si>
  <si>
    <t>Total</t>
  </si>
  <si>
    <t>PIC QC</t>
  </si>
  <si>
    <t>PC QC</t>
  </si>
  <si>
    <t>PN QC</t>
  </si>
  <si>
    <t>POC QC</t>
  </si>
  <si>
    <t>BSi QC</t>
  </si>
  <si>
    <t>PC_mol_flux</t>
  </si>
  <si>
    <t>PN_mol_flux</t>
  </si>
  <si>
    <t>POC_mol_flux</t>
  </si>
  <si>
    <t>PIC_mol_flux</t>
  </si>
  <si>
    <t>BSi_mol_flux</t>
  </si>
  <si>
    <t>PC mol QC</t>
  </si>
  <si>
    <t>PN mol QC</t>
  </si>
  <si>
    <t>POC mol QC</t>
  </si>
  <si>
    <t>PIC mol QC</t>
  </si>
  <si>
    <t>Bsi mol QC</t>
  </si>
  <si>
    <t>PIC/PN</t>
  </si>
  <si>
    <t>salts</t>
  </si>
  <si>
    <t>salts QC</t>
  </si>
  <si>
    <t>pH QC</t>
  </si>
  <si>
    <t>year start</t>
  </si>
  <si>
    <t>nominal</t>
  </si>
  <si>
    <t>cup open</t>
  </si>
  <si>
    <t>cup close</t>
  </si>
  <si>
    <t>1-Jan1900 time origin check</t>
  </si>
  <si>
    <t>cup duration</t>
  </si>
  <si>
    <t>sinking_flux_in_seawater_of_particulate_total_carbon_expressed_as_moles_of_carbon</t>
  </si>
  <si>
    <t>sinking_flux_in_seawater_of_particulate_nitrogen_expressed_as_moles_of_nitrogen</t>
  </si>
  <si>
    <t>sinking_flux_in_seawater_of_particulate_organic_carbon_expressed_as_moles_of_carbon</t>
  </si>
  <si>
    <t>sinking_flux_in_seawater_of_particulate_inorganic_carbon_expressed_as_moles_of_carbon</t>
  </si>
  <si>
    <t>sinking_flux_in_seawater_of_particulate_biogenic_silica_expressed_as_moles_of_silicon</t>
  </si>
  <si>
    <t>actual</t>
  </si>
  <si>
    <t>mol m-2 yr-1</t>
  </si>
  <si>
    <t>dbar</t>
  </si>
  <si>
    <t>mmol m-2 yr-1</t>
  </si>
  <si>
    <t>mol/mol</t>
  </si>
  <si>
    <t>m</t>
  </si>
  <si>
    <t>cup mid-point</t>
  </si>
  <si>
    <t>mean</t>
  </si>
  <si>
    <t>mode</t>
  </si>
  <si>
    <t>deployment year start</t>
  </si>
  <si>
    <t>site</t>
  </si>
  <si>
    <t>depth_nominal</t>
  </si>
  <si>
    <t>pressure_actual</t>
  </si>
  <si>
    <t>metadata</t>
  </si>
  <si>
    <t>metadata_depth</t>
  </si>
  <si>
    <t>sample</t>
  </si>
  <si>
    <t>sample_qc</t>
  </si>
  <si>
    <t>sample open</t>
  </si>
  <si>
    <t>sample close</t>
  </si>
  <si>
    <t>sample mid-point</t>
  </si>
  <si>
    <t>sample_duration</t>
  </si>
  <si>
    <t>mass_flux</t>
  </si>
  <si>
    <t>mass_flux_uncertainty</t>
  </si>
  <si>
    <t>mass_flux_qc</t>
  </si>
  <si>
    <t>SAL_BRINE</t>
  </si>
  <si>
    <t>SAL_BRINE_uncertainty</t>
  </si>
  <si>
    <t>SAL_BRINE_qc</t>
  </si>
  <si>
    <t>pH_BRINE</t>
  </si>
  <si>
    <t>pH_BRINE_uncertainty</t>
  </si>
  <si>
    <t>pH_BRINE_qc</t>
  </si>
  <si>
    <t>PC_mass_flux</t>
  </si>
  <si>
    <t>PC_mass_flux_uncertainty</t>
  </si>
  <si>
    <t>PC_mass_flux_qc</t>
  </si>
  <si>
    <t>PN_mass_flux</t>
  </si>
  <si>
    <t>PN_mass_flux_uncertainty</t>
  </si>
  <si>
    <t>PN_mass_flux_qc</t>
  </si>
  <si>
    <t>POC_mass_flux</t>
  </si>
  <si>
    <t>POC_mass_flux_uncertainty</t>
  </si>
  <si>
    <t>POC_mass_flux_qc</t>
  </si>
  <si>
    <t>PIC_mass_flux</t>
  </si>
  <si>
    <t>PIC_mass_flux_uncertainty</t>
  </si>
  <si>
    <t>PIC_mass_flux_qc</t>
  </si>
  <si>
    <t>BSi_mass_flux</t>
  </si>
  <si>
    <t>BSi_mass_flux_uncertainty</t>
  </si>
  <si>
    <t>BSi_mass_flux_qc</t>
  </si>
  <si>
    <t>standard_name</t>
  </si>
  <si>
    <t>actual pressure</t>
  </si>
  <si>
    <t>long_name</t>
  </si>
  <si>
    <t>sample number</t>
  </si>
  <si>
    <t>sample duration</t>
  </si>
  <si>
    <t>particulate total mass flux</t>
  </si>
  <si>
    <t xml:space="preserve">sample supernatant practical salinity </t>
  </si>
  <si>
    <t>sample supernatant pH NBS scale</t>
  </si>
  <si>
    <t>particulate total carbon mass flux</t>
  </si>
  <si>
    <t>particulate total nitrogen mass flux</t>
  </si>
  <si>
    <t>particulate organic carbon mass flux</t>
  </si>
  <si>
    <t>particulate inorganic carbon mass flux</t>
  </si>
  <si>
    <t>particulate biogenic silicon mass flux</t>
  </si>
  <si>
    <t>units</t>
  </si>
  <si>
    <t>yyyy:mm:dd hh:mm:ss UTC</t>
  </si>
  <si>
    <t>day</t>
  </si>
  <si>
    <t>mg m-2 d-1</t>
  </si>
  <si>
    <t>1</t>
  </si>
  <si>
    <r>
      <rPr>
        <sz val="11"/>
        <rFont val="1"/>
      </rPr>
      <t>1</t>
    </r>
  </si>
  <si>
    <t>relative_uncertainty</t>
  </si>
  <si>
    <t>uncertainty</t>
  </si>
  <si>
    <t>comment</t>
  </si>
  <si>
    <t>supernatant</t>
  </si>
  <si>
    <t>pressure from nearest instrument on mooring, extrapolated to trap position</t>
  </si>
  <si>
    <t>comment_method</t>
  </si>
  <si>
    <t>dry wt 60C</t>
  </si>
  <si>
    <t>Supernatant salinity measured as conductivity on recovery as indicator of brine washout</t>
  </si>
  <si>
    <t>Supernatant pH measured potentiometrically on recovery as indicator of brine washout</t>
  </si>
  <si>
    <t>elemental analyser total carbon</t>
  </si>
  <si>
    <t>elemental analyser total nitrogen</t>
  </si>
  <si>
    <t>particulate total carbon minus particulate inorganic carbon</t>
  </si>
  <si>
    <t>closed system acidification and coulometry of evolved carbon dioxide</t>
  </si>
  <si>
    <t>alkaline digest and segmented-flow spectrometry</t>
  </si>
  <si>
    <t>comment_sample</t>
  </si>
  <si>
    <t>valid_min</t>
  </si>
  <si>
    <t>valid_max</t>
  </si>
  <si>
    <t>SAZ47-22-2020</t>
  </si>
  <si>
    <t>cup 16 and 17 were combined at filtration stage (splits 4-10 each) due to low sample volume. Therefore all results listed for cup 16 are cominbed results for cups 16 and 17. Results expressed in d-1 have been corrected for this.</t>
  </si>
  <si>
    <t>copied from file "C:\Users\cawynn\OneDrive - University of Tasmania\sediment trap lab proc\RAW data\BSi\saz22_2020\Report_229_repeated_duplicates.xls"</t>
  </si>
  <si>
    <t>CSIRO Hydrochemistry Data Report - 229</t>
  </si>
  <si>
    <t>All samples diluted 1:10; 3 x blank samples not diluted; 2 samples ran in duplicate to test dilution</t>
  </si>
  <si>
    <t>Cassie Schwanger</t>
  </si>
  <si>
    <t>Silicate (µM)</t>
  </si>
  <si>
    <t>Silicate duplciate (µM)</t>
  </si>
  <si>
    <t>2020 13_1</t>
  </si>
  <si>
    <t>2020 13_2</t>
  </si>
  <si>
    <t>2020 14</t>
  </si>
  <si>
    <t>2020 11_1</t>
  </si>
  <si>
    <t>2020 11_2</t>
  </si>
  <si>
    <t>2020 12_1</t>
  </si>
  <si>
    <t>2020 12_2</t>
  </si>
  <si>
    <t>13_1</t>
  </si>
  <si>
    <t>13_2</t>
  </si>
  <si>
    <t>11_1</t>
  </si>
  <si>
    <t>11_2</t>
  </si>
  <si>
    <t>12_1</t>
  </si>
  <si>
    <t>12_2</t>
  </si>
  <si>
    <t>difference/mean %Bsi</t>
  </si>
  <si>
    <t>differrence to previous run</t>
  </si>
  <si>
    <t>for next deployment the idea was raised to underfill the cups by 5ml</t>
  </si>
  <si>
    <t>see email from Pete 8th April 2021</t>
  </si>
  <si>
    <t>Aquadopp</t>
  </si>
  <si>
    <t>1200m</t>
  </si>
  <si>
    <t>no sensor data, this is best guess based on diff in press between Aquadopp and 1000m trap on saz23_47_2021 mooring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</si>
</sst>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d\-mmm\-yyyy"/>
    <numFmt numFmtId="165" formatCode="m/d/yy"/>
    <numFmt numFmtId="166" formatCode="dd\.\ mmm\ yy"/>
    <numFmt numFmtId="167" formatCode="dd/mm/yyyy;@"/>
    <numFmt numFmtId="168" formatCode="0.0"/>
    <numFmt numFmtId="169" formatCode="d\-mmm\-yy\ hh:mm"/>
    <numFmt numFmtId="170" formatCode="[$-F400]h:mm:ss\ AM/PM"/>
    <numFmt numFmtId="171" formatCode="0.00000"/>
    <numFmt numFmtId="172" formatCode="0.000"/>
    <numFmt numFmtId="173" formatCode="0.0000"/>
    <numFmt numFmtId="174" formatCode="d/mm/yyyy;@"/>
    <numFmt numFmtId="175" formatCode="yyyy/mm/dd\ hh:mm:ss"/>
    <numFmt numFmtId="176" formatCode="0.0%"/>
    <numFmt numFmtId="177" formatCode="yyyy\-mm\-dd"/>
  </numFmts>
  <fonts count="6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0"/>
      <color rgb="FFFF0000"/>
      <name val="Arial"/>
      <family val="2"/>
    </font>
    <font>
      <b/>
      <sz val="14"/>
      <color rgb="FFFF0000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i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theme="1"/>
      <name val="Calibri"/>
      <family val="2"/>
      <charset val="204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rgb="FFFF0000"/>
      <name val="Arial"/>
      <family val="2"/>
    </font>
    <font>
      <sz val="10"/>
      <color rgb="FFFF0000"/>
      <name val="Arial"/>
      <family val="2"/>
    </font>
    <font>
      <b/>
      <sz val="11"/>
      <name val="Calibri"/>
      <family val="2"/>
      <scheme val="minor"/>
    </font>
    <font>
      <i/>
      <sz val="10"/>
      <name val="Arial"/>
      <family val="2"/>
    </font>
    <font>
      <b/>
      <sz val="14"/>
      <name val="Calibri"/>
      <family val="2"/>
      <scheme val="minor"/>
    </font>
    <font>
      <i/>
      <sz val="12"/>
      <name val="Calibri"/>
      <family val="2"/>
      <scheme val="minor"/>
    </font>
    <font>
      <sz val="12"/>
      <name val="Arial"/>
      <family val="2"/>
    </font>
    <font>
      <sz val="11"/>
      <name val="Calibri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sz val="10"/>
      <color theme="9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b/>
      <sz val="36"/>
      <color theme="1"/>
      <name val="Calibri"/>
      <family val="2"/>
      <scheme val="minor"/>
    </font>
    <font>
      <sz val="12"/>
      <name val="Calibri"/>
      <family val="2"/>
      <charset val="204"/>
      <scheme val="minor"/>
    </font>
    <font>
      <sz val="10"/>
      <name val="Calibri"/>
      <family val="2"/>
    </font>
    <font>
      <sz val="11"/>
      <color theme="1"/>
      <name val="Calibri"/>
      <family val="2"/>
    </font>
    <font>
      <b/>
      <sz val="10"/>
      <color indexed="10"/>
      <name val="Arial"/>
      <family val="2"/>
    </font>
    <font>
      <sz val="10"/>
      <color indexed="54"/>
      <name val="Arial"/>
      <family val="2"/>
    </font>
    <font>
      <sz val="12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MS Sans Serif"/>
    </font>
    <font>
      <sz val="12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name val="Calibri"/>
      <family val="2"/>
      <scheme val="minor"/>
    </font>
    <font>
      <b/>
      <sz val="10"/>
      <color theme="9"/>
      <name val="Arial"/>
      <family val="2"/>
    </font>
    <font>
      <b/>
      <sz val="14"/>
      <name val="Arial"/>
      <family val="2"/>
    </font>
    <font>
      <u/>
      <sz val="10"/>
      <name val="Arial"/>
      <family val="2"/>
    </font>
    <font>
      <i/>
      <sz val="9"/>
      <name val="Arial"/>
      <family val="2"/>
    </font>
    <font>
      <sz val="10"/>
      <color indexed="8"/>
      <name val="MS Sans Serif"/>
      <family val="2"/>
    </font>
    <font>
      <sz val="10"/>
      <color rgb="FFFF0000"/>
      <name val="MS Sans Serif"/>
      <family val="2"/>
    </font>
    <font>
      <sz val="11"/>
      <color rgb="FFFF0000"/>
      <name val="Calibri"/>
      <family val="2"/>
    </font>
    <font>
      <u/>
      <sz val="12"/>
      <color theme="10"/>
      <name val="Calibri"/>
      <family val="2"/>
      <charset val="204"/>
      <scheme val="minor"/>
    </font>
    <font>
      <u/>
      <sz val="12"/>
      <color rgb="FFFF0000"/>
      <name val="Calibri"/>
      <family val="2"/>
      <charset val="204"/>
      <scheme val="minor"/>
    </font>
    <font>
      <sz val="11"/>
      <name val="1"/>
    </font>
    <font>
      <sz val="11"/>
      <color theme="5"/>
      <name val="Calibri"/>
      <family val="2"/>
      <scheme val="minor"/>
    </font>
    <font>
      <b/>
      <sz val="14"/>
      <name val="Arial"/>
    </font>
    <font>
      <u/>
      <sz val="10"/>
      <name val="Arial"/>
    </font>
    <font>
      <b/>
      <sz val="10"/>
      <name val="Arial"/>
    </font>
    <font>
      <i/>
      <sz val="9"/>
      <name val="Arial"/>
    </font>
    <font>
      <sz val="10"/>
      <name val="Lucida Handwriting"/>
      <family val="4"/>
    </font>
  </fonts>
  <fills count="30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5" tint="-0.2499465926084170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9" tint="0.59996337778862885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9" fontId="14" fillId="0" borderId="0" applyFont="0" applyFill="0" applyBorder="0" applyAlignment="0" applyProtection="0"/>
    <xf numFmtId="0" fontId="48" fillId="0" borderId="0"/>
    <xf numFmtId="0" fontId="51" fillId="0" borderId="0" applyNumberFormat="0" applyFill="0" applyBorder="0" applyAlignment="0" applyProtection="0"/>
  </cellStyleXfs>
  <cellXfs count="603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1" xfId="0" applyFont="1" applyBorder="1"/>
    <xf numFmtId="2" fontId="3" fillId="0" borderId="2" xfId="0" applyNumberFormat="1" applyFont="1" applyBorder="1"/>
    <xf numFmtId="2" fontId="3" fillId="0" borderId="3" xfId="0" applyNumberFormat="1" applyFont="1" applyBorder="1"/>
    <xf numFmtId="0" fontId="4" fillId="0" borderId="0" xfId="0" applyFont="1"/>
    <xf numFmtId="0" fontId="3" fillId="0" borderId="4" xfId="0" applyFont="1" applyBorder="1"/>
    <xf numFmtId="2" fontId="3" fillId="0" borderId="5" xfId="0" applyNumberFormat="1" applyFont="1" applyBorder="1"/>
    <xf numFmtId="0" fontId="3" fillId="0" borderId="4" xfId="0" applyFont="1" applyBorder="1" applyAlignment="1">
      <alignment horizontal="right"/>
    </xf>
    <xf numFmtId="0" fontId="4" fillId="0" borderId="7" xfId="0" applyFont="1" applyBorder="1"/>
    <xf numFmtId="2" fontId="3" fillId="0" borderId="8" xfId="0" applyNumberFormat="1" applyFont="1" applyBorder="1"/>
    <xf numFmtId="2" fontId="3" fillId="0" borderId="9" xfId="0" applyNumberFormat="1" applyFont="1" applyBorder="1"/>
    <xf numFmtId="0" fontId="3" fillId="0" borderId="9" xfId="0" applyFont="1" applyBorder="1"/>
    <xf numFmtId="2" fontId="3" fillId="0" borderId="0" xfId="0" applyNumberFormat="1" applyFont="1"/>
    <xf numFmtId="0" fontId="3" fillId="2" borderId="0" xfId="0" applyFont="1" applyFill="1"/>
    <xf numFmtId="0" fontId="3" fillId="0" borderId="0" xfId="0" applyFont="1" applyFill="1"/>
    <xf numFmtId="0" fontId="4" fillId="0" borderId="10" xfId="0" applyFont="1" applyBorder="1"/>
    <xf numFmtId="0" fontId="4" fillId="0" borderId="3" xfId="0" applyFont="1" applyBorder="1"/>
    <xf numFmtId="0" fontId="3" fillId="0" borderId="1" xfId="0" applyFont="1" applyBorder="1" applyAlignment="1">
      <alignment horizontal="left" vertic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/>
    <xf numFmtId="0" fontId="4" fillId="0" borderId="0" xfId="0" applyFont="1" applyFill="1" applyBorder="1"/>
    <xf numFmtId="0" fontId="3" fillId="0" borderId="4" xfId="0" applyFont="1" applyBorder="1" applyAlignment="1">
      <alignment horizontal="left" vertical="center"/>
    </xf>
    <xf numFmtId="2" fontId="4" fillId="0" borderId="0" xfId="0" applyNumberFormat="1" applyFont="1" applyFill="1" applyBorder="1"/>
    <xf numFmtId="0" fontId="3" fillId="0" borderId="7" xfId="0" applyFont="1" applyBorder="1" applyAlignment="1">
      <alignment horizontal="left" vertical="center"/>
    </xf>
    <xf numFmtId="0" fontId="6" fillId="0" borderId="0" xfId="0" applyFont="1"/>
    <xf numFmtId="0" fontId="1" fillId="0" borderId="0" xfId="0" applyFont="1"/>
    <xf numFmtId="0" fontId="3" fillId="0" borderId="0" xfId="0" applyFont="1" applyFill="1" applyBorder="1" applyAlignment="1">
      <alignment horizontal="left" vertical="center"/>
    </xf>
    <xf numFmtId="0" fontId="7" fillId="0" borderId="0" xfId="0" applyFont="1"/>
    <xf numFmtId="0" fontId="8" fillId="0" borderId="0" xfId="0" applyFont="1"/>
    <xf numFmtId="15" fontId="9" fillId="0" borderId="0" xfId="0" applyNumberFormat="1" applyFont="1"/>
    <xf numFmtId="0" fontId="8" fillId="3" borderId="0" xfId="0" applyFont="1" applyFill="1"/>
    <xf numFmtId="0" fontId="11" fillId="0" borderId="0" xfId="0" applyFont="1"/>
    <xf numFmtId="0" fontId="10" fillId="0" borderId="0" xfId="0" applyFont="1" applyFill="1"/>
    <xf numFmtId="15" fontId="10" fillId="0" borderId="0" xfId="0" applyNumberFormat="1" applyFont="1" applyFill="1"/>
    <xf numFmtId="15" fontId="9" fillId="0" borderId="0" xfId="0" applyNumberFormat="1" applyFont="1" applyFill="1"/>
    <xf numFmtId="0" fontId="7" fillId="0" borderId="0" xfId="0" applyFont="1" applyFill="1"/>
    <xf numFmtId="164" fontId="7" fillId="0" borderId="0" xfId="0" applyNumberFormat="1" applyFont="1" applyFill="1"/>
    <xf numFmtId="164" fontId="10" fillId="0" borderId="0" xfId="0" applyNumberFormat="1" applyFont="1" applyFill="1"/>
    <xf numFmtId="0" fontId="9" fillId="0" borderId="0" xfId="0" applyFont="1" applyFill="1"/>
    <xf numFmtId="166" fontId="9" fillId="0" borderId="0" xfId="0" applyNumberFormat="1" applyFont="1" applyFill="1"/>
    <xf numFmtId="1" fontId="7" fillId="0" borderId="0" xfId="0" applyNumberFormat="1" applyFont="1" applyFill="1"/>
    <xf numFmtId="0" fontId="8" fillId="0" borderId="0" xfId="0" applyFont="1" applyFill="1"/>
    <xf numFmtId="0" fontId="6" fillId="4" borderId="0" xfId="0" applyFont="1" applyFill="1"/>
    <xf numFmtId="2" fontId="3" fillId="0" borderId="1" xfId="0" applyNumberFormat="1" applyFont="1" applyBorder="1"/>
    <xf numFmtId="2" fontId="3" fillId="0" borderId="4" xfId="0" applyNumberFormat="1" applyFont="1" applyBorder="1"/>
    <xf numFmtId="2" fontId="3" fillId="0" borderId="4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2" fontId="3" fillId="0" borderId="6" xfId="0" applyNumberFormat="1" applyFont="1" applyFill="1" applyBorder="1"/>
    <xf numFmtId="0" fontId="0" fillId="0" borderId="0" xfId="0" applyFill="1"/>
    <xf numFmtId="0" fontId="13" fillId="0" borderId="0" xfId="0" applyFont="1"/>
    <xf numFmtId="0" fontId="4" fillId="0" borderId="0" xfId="0" applyFont="1" applyFill="1"/>
    <xf numFmtId="0" fontId="1" fillId="0" borderId="0" xfId="0" applyFont="1" applyFill="1"/>
    <xf numFmtId="15" fontId="15" fillId="3" borderId="0" xfId="0" applyNumberFormat="1" applyFont="1" applyFill="1"/>
    <xf numFmtId="0" fontId="16" fillId="3" borderId="0" xfId="0" applyFont="1" applyFill="1"/>
    <xf numFmtId="0" fontId="1" fillId="4" borderId="0" xfId="0" applyFont="1" applyFill="1"/>
    <xf numFmtId="9" fontId="1" fillId="0" borderId="0" xfId="1" applyFont="1"/>
    <xf numFmtId="0" fontId="4" fillId="0" borderId="0" xfId="0" applyFont="1" applyBorder="1"/>
    <xf numFmtId="0" fontId="4" fillId="0" borderId="6" xfId="0" applyFont="1" applyBorder="1"/>
    <xf numFmtId="164" fontId="8" fillId="3" borderId="0" xfId="0" applyNumberFormat="1" applyFont="1" applyFill="1"/>
    <xf numFmtId="0" fontId="2" fillId="3" borderId="0" xfId="0" applyFont="1" applyFill="1"/>
    <xf numFmtId="15" fontId="2" fillId="3" borderId="0" xfId="0" applyNumberFormat="1" applyFont="1" applyFill="1"/>
    <xf numFmtId="0" fontId="17" fillId="0" borderId="0" xfId="0" applyFont="1"/>
    <xf numFmtId="164" fontId="2" fillId="3" borderId="0" xfId="0" applyNumberFormat="1" applyFont="1" applyFill="1"/>
    <xf numFmtId="0" fontId="18" fillId="3" borderId="0" xfId="0" applyFont="1" applyFill="1"/>
    <xf numFmtId="166" fontId="18" fillId="3" borderId="0" xfId="0" applyNumberFormat="1" applyFont="1" applyFill="1"/>
    <xf numFmtId="1" fontId="8" fillId="3" borderId="0" xfId="0" applyNumberFormat="1" applyFont="1" applyFill="1"/>
    <xf numFmtId="0" fontId="3" fillId="0" borderId="1" xfId="0" applyFont="1" applyFill="1" applyBorder="1"/>
    <xf numFmtId="0" fontId="19" fillId="0" borderId="0" xfId="0" applyFont="1"/>
    <xf numFmtId="0" fontId="20" fillId="0" borderId="4" xfId="0" applyFont="1" applyBorder="1" applyAlignment="1">
      <alignment horizontal="left"/>
    </xf>
    <xf numFmtId="0" fontId="17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2" fontId="3" fillId="0" borderId="7" xfId="0" applyNumberFormat="1" applyFont="1" applyBorder="1"/>
    <xf numFmtId="0" fontId="6" fillId="0" borderId="0" xfId="0" applyFont="1" applyFill="1"/>
    <xf numFmtId="14" fontId="1" fillId="0" borderId="0" xfId="0" applyNumberFormat="1" applyFont="1" applyFill="1"/>
    <xf numFmtId="0" fontId="3" fillId="0" borderId="6" xfId="0" applyFont="1" applyBorder="1" applyAlignment="1">
      <alignment horizontal="center"/>
    </xf>
    <xf numFmtId="0" fontId="21" fillId="0" borderId="2" xfId="0" applyFont="1" applyBorder="1" applyAlignment="1">
      <alignment horizontal="left" vertical="center"/>
    </xf>
    <xf numFmtId="0" fontId="21" fillId="0" borderId="5" xfId="0" applyFont="1" applyFill="1" applyBorder="1" applyAlignment="1">
      <alignment horizontal="left" vertical="center"/>
    </xf>
    <xf numFmtId="0" fontId="21" fillId="0" borderId="8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center"/>
    </xf>
    <xf numFmtId="0" fontId="21" fillId="0" borderId="1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12" fillId="0" borderId="0" xfId="0" applyFont="1"/>
    <xf numFmtId="0" fontId="12" fillId="0" borderId="1" xfId="0" applyFont="1" applyBorder="1"/>
    <xf numFmtId="0" fontId="13" fillId="4" borderId="0" xfId="0" applyFont="1" applyFill="1"/>
    <xf numFmtId="14" fontId="13" fillId="4" borderId="0" xfId="0" applyNumberFormat="1" applyFont="1" applyFill="1"/>
    <xf numFmtId="0" fontId="13" fillId="0" borderId="0" xfId="0" applyFont="1" applyFill="1"/>
    <xf numFmtId="0" fontId="0" fillId="0" borderId="0" xfId="0" applyAlignment="1">
      <alignment vertical="center"/>
    </xf>
    <xf numFmtId="165" fontId="8" fillId="0" borderId="0" xfId="0" applyNumberFormat="1" applyFont="1"/>
    <xf numFmtId="0" fontId="12" fillId="0" borderId="0" xfId="0" applyFont="1" applyFill="1"/>
    <xf numFmtId="0" fontId="23" fillId="0" borderId="1" xfId="0" applyFont="1" applyBorder="1" applyAlignment="1">
      <alignment vertical="center"/>
    </xf>
    <xf numFmtId="1" fontId="23" fillId="0" borderId="10" xfId="0" applyNumberFormat="1" applyFont="1" applyBorder="1" applyAlignment="1">
      <alignment vertical="center"/>
    </xf>
    <xf numFmtId="0" fontId="23" fillId="0" borderId="10" xfId="0" applyFont="1" applyBorder="1" applyAlignment="1">
      <alignment horizontal="left" vertical="center"/>
    </xf>
    <xf numFmtId="0" fontId="23" fillId="0" borderId="3" xfId="0" applyFont="1" applyBorder="1" applyAlignment="1">
      <alignment vertical="center"/>
    </xf>
    <xf numFmtId="0" fontId="23" fillId="0" borderId="10" xfId="0" applyFont="1" applyBorder="1" applyAlignment="1">
      <alignment vertical="center"/>
    </xf>
    <xf numFmtId="0" fontId="0" fillId="5" borderId="0" xfId="0" applyFill="1"/>
    <xf numFmtId="0" fontId="25" fillId="5" borderId="0" xfId="0" applyFont="1" applyFill="1"/>
    <xf numFmtId="0" fontId="0" fillId="5" borderId="0" xfId="0" applyFill="1" applyAlignment="1">
      <alignment horizontal="left"/>
    </xf>
    <xf numFmtId="1" fontId="8" fillId="5" borderId="0" xfId="0" applyNumberFormat="1" applyFont="1" applyFill="1" applyAlignment="1">
      <alignment horizontal="left"/>
    </xf>
    <xf numFmtId="0" fontId="8" fillId="5" borderId="0" xfId="0" applyFont="1" applyFill="1"/>
    <xf numFmtId="0" fontId="26" fillId="5" borderId="0" xfId="0" applyFont="1" applyFill="1"/>
    <xf numFmtId="2" fontId="0" fillId="5" borderId="0" xfId="0" applyNumberFormat="1" applyFill="1"/>
    <xf numFmtId="2" fontId="8" fillId="5" borderId="0" xfId="0" applyNumberFormat="1" applyFont="1" applyFill="1" applyAlignment="1">
      <alignment horizontal="left"/>
    </xf>
    <xf numFmtId="164" fontId="25" fillId="5" borderId="0" xfId="0" applyNumberFormat="1" applyFont="1" applyFill="1"/>
    <xf numFmtId="164" fontId="25" fillId="6" borderId="0" xfId="0" applyNumberFormat="1" applyFont="1" applyFill="1"/>
    <xf numFmtId="1" fontId="8" fillId="6" borderId="0" xfId="0" applyNumberFormat="1" applyFont="1" applyFill="1"/>
    <xf numFmtId="15" fontId="25" fillId="5" borderId="0" xfId="0" applyNumberFormat="1" applyFont="1" applyFill="1"/>
    <xf numFmtId="167" fontId="25" fillId="5" borderId="0" xfId="0" applyNumberFormat="1" applyFont="1" applyFill="1" applyAlignment="1">
      <alignment horizontal="right"/>
    </xf>
    <xf numFmtId="168" fontId="25" fillId="5" borderId="0" xfId="0" applyNumberFormat="1" applyFont="1" applyFill="1"/>
    <xf numFmtId="2" fontId="25" fillId="5" borderId="0" xfId="0" applyNumberFormat="1" applyFont="1" applyFill="1" applyAlignment="1">
      <alignment horizontal="center"/>
    </xf>
    <xf numFmtId="1" fontId="5" fillId="5" borderId="0" xfId="0" applyNumberFormat="1" applyFont="1" applyFill="1"/>
    <xf numFmtId="1" fontId="25" fillId="5" borderId="0" xfId="0" applyNumberFormat="1" applyFont="1" applyFill="1"/>
    <xf numFmtId="2" fontId="25" fillId="5" borderId="0" xfId="0" applyNumberFormat="1" applyFont="1" applyFill="1"/>
    <xf numFmtId="0" fontId="16" fillId="5" borderId="0" xfId="0" applyFont="1" applyFill="1"/>
    <xf numFmtId="0" fontId="8" fillId="5" borderId="0" xfId="0" applyFont="1" applyFill="1" applyAlignment="1">
      <alignment horizontal="left"/>
    </xf>
    <xf numFmtId="2" fontId="2" fillId="0" borderId="0" xfId="0" applyNumberFormat="1" applyFont="1"/>
    <xf numFmtId="1" fontId="27" fillId="0" borderId="0" xfId="0" applyNumberFormat="1" applyFont="1" applyAlignment="1">
      <alignment horizontal="left"/>
    </xf>
    <xf numFmtId="0" fontId="5" fillId="0" borderId="0" xfId="0" applyFont="1"/>
    <xf numFmtId="1" fontId="28" fillId="7" borderId="0" xfId="0" applyNumberFormat="1" applyFont="1" applyFill="1"/>
    <xf numFmtId="2" fontId="0" fillId="0" borderId="0" xfId="0" quotePrefix="1" applyNumberFormat="1"/>
    <xf numFmtId="1" fontId="29" fillId="0" borderId="0" xfId="0" applyNumberFormat="1" applyFont="1" applyAlignment="1">
      <alignment horizontal="left"/>
    </xf>
    <xf numFmtId="0" fontId="16" fillId="0" borderId="0" xfId="0" applyFont="1"/>
    <xf numFmtId="2" fontId="0" fillId="0" borderId="0" xfId="0" applyNumberFormat="1"/>
    <xf numFmtId="0" fontId="28" fillId="0" borderId="0" xfId="0" applyFont="1"/>
    <xf numFmtId="0" fontId="24" fillId="0" borderId="0" xfId="0" applyFont="1"/>
    <xf numFmtId="0" fontId="30" fillId="0" borderId="0" xfId="0" applyFont="1"/>
    <xf numFmtId="0" fontId="31" fillId="8" borderId="0" xfId="0" applyFont="1" applyFill="1"/>
    <xf numFmtId="2" fontId="31" fillId="8" borderId="0" xfId="0" applyNumberFormat="1" applyFont="1" applyFill="1"/>
    <xf numFmtId="168" fontId="31" fillId="8" borderId="0" xfId="0" applyNumberFormat="1" applyFont="1" applyFill="1"/>
    <xf numFmtId="168" fontId="31" fillId="8" borderId="0" xfId="0" applyNumberFormat="1" applyFont="1" applyFill="1" applyAlignment="1">
      <alignment horizontal="center"/>
    </xf>
    <xf numFmtId="2" fontId="31" fillId="8" borderId="4" xfId="0" applyNumberFormat="1" applyFont="1" applyFill="1" applyBorder="1"/>
    <xf numFmtId="14" fontId="8" fillId="8" borderId="0" xfId="0" applyNumberFormat="1" applyFont="1" applyFill="1"/>
    <xf numFmtId="14" fontId="31" fillId="8" borderId="0" xfId="0" applyNumberFormat="1" applyFont="1" applyFill="1"/>
    <xf numFmtId="168" fontId="8" fillId="8" borderId="0" xfId="0" applyNumberFormat="1" applyFont="1" applyFill="1" applyAlignment="1">
      <alignment horizontal="center"/>
    </xf>
    <xf numFmtId="0" fontId="31" fillId="8" borderId="4" xfId="0" applyFont="1" applyFill="1" applyBorder="1"/>
    <xf numFmtId="168" fontId="31" fillId="8" borderId="0" xfId="0" quotePrefix="1" applyNumberFormat="1" applyFont="1" applyFill="1"/>
    <xf numFmtId="14" fontId="0" fillId="0" borderId="0" xfId="0" applyNumberFormat="1"/>
    <xf numFmtId="1" fontId="2" fillId="0" borderId="0" xfId="0" applyNumberFormat="1" applyFont="1"/>
    <xf numFmtId="168" fontId="28" fillId="0" borderId="0" xfId="0" applyNumberFormat="1" applyFont="1"/>
    <xf numFmtId="168" fontId="2" fillId="0" borderId="0" xfId="0" applyNumberFormat="1" applyFont="1"/>
    <xf numFmtId="2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right"/>
    </xf>
    <xf numFmtId="169" fontId="2" fillId="0" borderId="0" xfId="0" applyNumberFormat="1" applyFont="1"/>
    <xf numFmtId="2" fontId="8" fillId="0" borderId="0" xfId="0" applyNumberFormat="1" applyFont="1" applyAlignment="1">
      <alignment horizontal="left"/>
    </xf>
    <xf numFmtId="2" fontId="26" fillId="0" borderId="0" xfId="0" applyNumberFormat="1" applyFont="1"/>
    <xf numFmtId="168" fontId="8" fillId="6" borderId="0" xfId="0" applyNumberFormat="1" applyFont="1" applyFill="1" applyAlignment="1">
      <alignment horizontal="right"/>
    </xf>
    <xf numFmtId="2" fontId="8" fillId="0" borderId="0" xfId="0" applyNumberFormat="1" applyFont="1"/>
    <xf numFmtId="0" fontId="0" fillId="0" borderId="0" xfId="0" applyAlignment="1">
      <alignment horizontal="left"/>
    </xf>
    <xf numFmtId="1" fontId="0" fillId="0" borderId="0" xfId="0" applyNumberFormat="1"/>
    <xf numFmtId="168" fontId="26" fillId="0" borderId="0" xfId="0" applyNumberFormat="1" applyFont="1"/>
    <xf numFmtId="1" fontId="0" fillId="0" borderId="0" xfId="0" quotePrefix="1" applyNumberFormat="1"/>
    <xf numFmtId="168" fontId="0" fillId="0" borderId="0" xfId="0" quotePrefix="1" applyNumberFormat="1"/>
    <xf numFmtId="168" fontId="0" fillId="0" borderId="0" xfId="0" applyNumberFormat="1"/>
    <xf numFmtId="2" fontId="0" fillId="0" borderId="0" xfId="0" applyNumberFormat="1" applyAlignment="1">
      <alignment horizontal="center"/>
    </xf>
    <xf numFmtId="167" fontId="0" fillId="0" borderId="0" xfId="0" applyNumberFormat="1" applyAlignment="1">
      <alignment horizontal="right"/>
    </xf>
    <xf numFmtId="169" fontId="0" fillId="0" borderId="0" xfId="0" applyNumberFormat="1"/>
    <xf numFmtId="1" fontId="8" fillId="6" borderId="0" xfId="0" applyNumberFormat="1" applyFont="1" applyFill="1" applyAlignment="1">
      <alignment horizontal="right"/>
    </xf>
    <xf numFmtId="1" fontId="0" fillId="0" borderId="0" xfId="0" applyNumberFormat="1" applyAlignment="1">
      <alignment horizontal="left"/>
    </xf>
    <xf numFmtId="15" fontId="0" fillId="0" borderId="0" xfId="0" applyNumberFormat="1" applyAlignment="1">
      <alignment horizontal="left"/>
    </xf>
    <xf numFmtId="0" fontId="0" fillId="0" borderId="0" xfId="0" quotePrefix="1"/>
    <xf numFmtId="16" fontId="0" fillId="0" borderId="0" xfId="0" applyNumberFormat="1"/>
    <xf numFmtId="2" fontId="0" fillId="0" borderId="0" xfId="0" applyNumberFormat="1" applyAlignment="1">
      <alignment horizontal="left"/>
    </xf>
    <xf numFmtId="2" fontId="26" fillId="0" borderId="0" xfId="0" applyNumberFormat="1" applyFont="1" applyAlignment="1">
      <alignment horizontal="left"/>
    </xf>
    <xf numFmtId="168" fontId="34" fillId="0" borderId="0" xfId="0" applyNumberFormat="1" applyFont="1"/>
    <xf numFmtId="2" fontId="2" fillId="0" borderId="0" xfId="0" applyNumberFormat="1" applyFont="1" applyAlignment="1">
      <alignment horizontal="left"/>
    </xf>
    <xf numFmtId="0" fontId="29" fillId="0" borderId="0" xfId="0" applyFont="1" applyAlignment="1">
      <alignment horizontal="left"/>
    </xf>
    <xf numFmtId="1" fontId="35" fillId="0" borderId="0" xfId="0" applyNumberFormat="1" applyFont="1"/>
    <xf numFmtId="0" fontId="35" fillId="0" borderId="0" xfId="0" applyFont="1"/>
    <xf numFmtId="168" fontId="35" fillId="0" borderId="0" xfId="0" applyNumberFormat="1" applyFont="1"/>
    <xf numFmtId="2" fontId="35" fillId="0" borderId="0" xfId="0" applyNumberFormat="1" applyFont="1" applyAlignment="1">
      <alignment horizontal="center"/>
    </xf>
    <xf numFmtId="168" fontId="35" fillId="0" borderId="0" xfId="0" quotePrefix="1" applyNumberFormat="1" applyFont="1"/>
    <xf numFmtId="167" fontId="35" fillId="0" borderId="0" xfId="0" applyNumberFormat="1" applyFont="1" applyAlignment="1">
      <alignment horizontal="right"/>
    </xf>
    <xf numFmtId="169" fontId="35" fillId="0" borderId="0" xfId="0" applyNumberFormat="1" applyFont="1"/>
    <xf numFmtId="0" fontId="0" fillId="0" borderId="0" xfId="0" applyAlignment="1">
      <alignment wrapText="1"/>
    </xf>
    <xf numFmtId="0" fontId="26" fillId="0" borderId="0" xfId="0" applyFont="1"/>
    <xf numFmtId="0" fontId="8" fillId="0" borderId="0" xfId="0" applyFont="1" applyAlignment="1">
      <alignment horizontal="right"/>
    </xf>
    <xf numFmtId="1" fontId="8" fillId="0" borderId="0" xfId="0" applyNumberFormat="1" applyFont="1" applyAlignment="1">
      <alignment horizontal="left"/>
    </xf>
    <xf numFmtId="0" fontId="2" fillId="0" borderId="0" xfId="0" applyFont="1" applyFill="1"/>
    <xf numFmtId="0" fontId="35" fillId="0" borderId="0" xfId="0" applyFont="1" applyFill="1"/>
    <xf numFmtId="2" fontId="0" fillId="0" borderId="0" xfId="0" applyNumberFormat="1" applyFill="1"/>
    <xf numFmtId="1" fontId="0" fillId="0" borderId="0" xfId="0" applyNumberFormat="1" applyFill="1"/>
    <xf numFmtId="14" fontId="0" fillId="0" borderId="0" xfId="0" applyNumberFormat="1" applyFill="1"/>
    <xf numFmtId="14" fontId="8" fillId="0" borderId="0" xfId="0" applyNumberFormat="1" applyFont="1" applyFill="1"/>
    <xf numFmtId="2" fontId="1" fillId="0" borderId="0" xfId="0" applyNumberFormat="1" applyFont="1" applyFill="1"/>
    <xf numFmtId="168" fontId="8" fillId="0" borderId="0" xfId="0" applyNumberFormat="1" applyFont="1"/>
    <xf numFmtId="0" fontId="8" fillId="0" borderId="0" xfId="0" applyFont="1" applyAlignment="1">
      <alignment horizontal="left"/>
    </xf>
    <xf numFmtId="1" fontId="25" fillId="0" borderId="0" xfId="0" applyNumberFormat="1" applyFont="1"/>
    <xf numFmtId="1" fontId="8" fillId="0" borderId="0" xfId="0" applyNumberFormat="1" applyFont="1"/>
    <xf numFmtId="0" fontId="25" fillId="0" borderId="0" xfId="0" applyFont="1"/>
    <xf numFmtId="1" fontId="8" fillId="0" borderId="0" xfId="0" applyNumberFormat="1" applyFont="1" applyAlignment="1">
      <alignment horizontal="right"/>
    </xf>
    <xf numFmtId="1" fontId="25" fillId="0" borderId="0" xfId="0" applyNumberFormat="1" applyFont="1" applyAlignment="1">
      <alignment horizontal="left"/>
    </xf>
    <xf numFmtId="168" fontId="25" fillId="0" borderId="0" xfId="0" applyNumberFormat="1" applyFont="1"/>
    <xf numFmtId="1" fontId="16" fillId="0" borderId="0" xfId="0" applyNumberFormat="1" applyFont="1" applyAlignment="1">
      <alignment horizontal="left"/>
    </xf>
    <xf numFmtId="14" fontId="8" fillId="0" borderId="0" xfId="0" applyNumberFormat="1" applyFont="1"/>
    <xf numFmtId="168" fontId="16" fillId="0" borderId="0" xfId="0" applyNumberFormat="1" applyFont="1"/>
    <xf numFmtId="15" fontId="16" fillId="0" borderId="0" xfId="0" applyNumberFormat="1" applyFont="1"/>
    <xf numFmtId="20" fontId="16" fillId="0" borderId="0" xfId="0" applyNumberFormat="1" applyFont="1"/>
    <xf numFmtId="0" fontId="31" fillId="0" borderId="0" xfId="0" applyFont="1"/>
    <xf numFmtId="14" fontId="12" fillId="0" borderId="0" xfId="0" applyNumberFormat="1" applyFont="1"/>
    <xf numFmtId="0" fontId="36" fillId="0" borderId="0" xfId="0" applyFont="1"/>
    <xf numFmtId="0" fontId="32" fillId="0" borderId="0" xfId="0" applyFont="1"/>
    <xf numFmtId="10" fontId="31" fillId="0" borderId="0" xfId="1" applyNumberFormat="1" applyFont="1"/>
    <xf numFmtId="171" fontId="31" fillId="0" borderId="0" xfId="0" applyNumberFormat="1" applyFont="1"/>
    <xf numFmtId="171" fontId="36" fillId="0" borderId="0" xfId="0" applyNumberFormat="1" applyFont="1"/>
    <xf numFmtId="0" fontId="31" fillId="0" borderId="11" xfId="0" applyFont="1" applyBorder="1"/>
    <xf numFmtId="172" fontId="31" fillId="0" borderId="0" xfId="0" applyNumberFormat="1" applyFont="1"/>
    <xf numFmtId="172" fontId="31" fillId="0" borderId="11" xfId="0" applyNumberFormat="1" applyFont="1" applyBorder="1"/>
    <xf numFmtId="0" fontId="8" fillId="0" borderId="12" xfId="0" applyFont="1" applyBorder="1"/>
    <xf numFmtId="0" fontId="31" fillId="0" borderId="12" xfId="0" applyFont="1" applyBorder="1"/>
    <xf numFmtId="0" fontId="32" fillId="0" borderId="12" xfId="0" applyFont="1" applyBorder="1"/>
    <xf numFmtId="172" fontId="31" fillId="0" borderId="12" xfId="0" applyNumberFormat="1" applyFont="1" applyBorder="1"/>
    <xf numFmtId="0" fontId="0" fillId="0" borderId="12" xfId="0" applyBorder="1"/>
    <xf numFmtId="0" fontId="8" fillId="0" borderId="11" xfId="0" applyFont="1" applyBorder="1"/>
    <xf numFmtId="172" fontId="0" fillId="0" borderId="0" xfId="0" applyNumberFormat="1"/>
    <xf numFmtId="0" fontId="8" fillId="0" borderId="11" xfId="0" applyFont="1" applyFill="1" applyBorder="1"/>
    <xf numFmtId="14" fontId="0" fillId="0" borderId="11" xfId="0" applyNumberFormat="1" applyBorder="1"/>
    <xf numFmtId="0" fontId="0" fillId="0" borderId="11" xfId="0" applyBorder="1"/>
    <xf numFmtId="0" fontId="0" fillId="9" borderId="0" xfId="0" applyFill="1"/>
    <xf numFmtId="2" fontId="0" fillId="9" borderId="0" xfId="0" applyNumberFormat="1" applyFill="1"/>
    <xf numFmtId="15" fontId="0" fillId="0" borderId="0" xfId="0" applyNumberFormat="1"/>
    <xf numFmtId="2" fontId="0" fillId="8" borderId="0" xfId="0" applyNumberFormat="1" applyFill="1"/>
    <xf numFmtId="2" fontId="13" fillId="0" borderId="0" xfId="0" applyNumberFormat="1" applyFont="1"/>
    <xf numFmtId="2" fontId="37" fillId="0" borderId="0" xfId="0" applyNumberFormat="1" applyFont="1"/>
    <xf numFmtId="0" fontId="37" fillId="0" borderId="0" xfId="0" applyFont="1"/>
    <xf numFmtId="168" fontId="37" fillId="0" borderId="0" xfId="0" applyNumberFormat="1" applyFont="1"/>
    <xf numFmtId="15" fontId="8" fillId="0" borderId="0" xfId="0" applyNumberFormat="1" applyFont="1"/>
    <xf numFmtId="0" fontId="0" fillId="10" borderId="0" xfId="0" applyFill="1"/>
    <xf numFmtId="0" fontId="0" fillId="8" borderId="0" xfId="0" applyFill="1"/>
    <xf numFmtId="0" fontId="13" fillId="10" borderId="0" xfId="0" applyFont="1" applyFill="1"/>
    <xf numFmtId="9" fontId="0" fillId="0" borderId="0" xfId="0" applyNumberFormat="1"/>
    <xf numFmtId="0" fontId="0" fillId="4" borderId="0" xfId="0" applyFill="1"/>
    <xf numFmtId="10" fontId="13" fillId="0" borderId="0" xfId="1" applyNumberFormat="1" applyFont="1" applyFill="1"/>
    <xf numFmtId="10" fontId="1" fillId="0" borderId="0" xfId="1" applyNumberFormat="1" applyFont="1"/>
    <xf numFmtId="14" fontId="1" fillId="0" borderId="0" xfId="0" applyNumberFormat="1" applyFont="1"/>
    <xf numFmtId="172" fontId="1" fillId="0" borderId="0" xfId="0" applyNumberFormat="1" applyFont="1"/>
    <xf numFmtId="0" fontId="0" fillId="0" borderId="0" xfId="0" applyFill="1" applyBorder="1"/>
    <xf numFmtId="0" fontId="3" fillId="0" borderId="12" xfId="0" applyFont="1" applyBorder="1"/>
    <xf numFmtId="0" fontId="3" fillId="0" borderId="11" xfId="0" applyFont="1" applyBorder="1"/>
    <xf numFmtId="0" fontId="8" fillId="0" borderId="0" xfId="0" applyFont="1" applyFill="1" applyBorder="1"/>
    <xf numFmtId="0" fontId="1" fillId="8" borderId="0" xfId="0" applyFont="1" applyFill="1"/>
    <xf numFmtId="2" fontId="17" fillId="0" borderId="0" xfId="0" applyNumberFormat="1" applyFont="1" applyFill="1"/>
    <xf numFmtId="2" fontId="13" fillId="0" borderId="0" xfId="0" applyNumberFormat="1" applyFont="1" applyFill="1"/>
    <xf numFmtId="0" fontId="38" fillId="0" borderId="0" xfId="0" applyFont="1"/>
    <xf numFmtId="2" fontId="13" fillId="4" borderId="0" xfId="0" applyNumberFormat="1" applyFont="1" applyFill="1"/>
    <xf numFmtId="10" fontId="17" fillId="4" borderId="0" xfId="1" applyNumberFormat="1" applyFont="1" applyFill="1"/>
    <xf numFmtId="9" fontId="1" fillId="0" borderId="0" xfId="0" applyNumberFormat="1" applyFont="1"/>
    <xf numFmtId="2" fontId="1" fillId="4" borderId="0" xfId="0" applyNumberFormat="1" applyFont="1" applyFill="1"/>
    <xf numFmtId="10" fontId="38" fillId="4" borderId="0" xfId="1" applyNumberFormat="1" applyFont="1" applyFill="1"/>
    <xf numFmtId="0" fontId="38" fillId="8" borderId="0" xfId="0" applyFont="1" applyFill="1"/>
    <xf numFmtId="0" fontId="17" fillId="0" borderId="0" xfId="0" applyFont="1" applyFill="1"/>
    <xf numFmtId="2" fontId="1" fillId="0" borderId="0" xfId="0" applyNumberFormat="1" applyFont="1"/>
    <xf numFmtId="0" fontId="24" fillId="0" borderId="9" xfId="0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24" fillId="0" borderId="7" xfId="0" applyFont="1" applyBorder="1" applyAlignment="1">
      <alignment horizontal="center"/>
    </xf>
    <xf numFmtId="0" fontId="39" fillId="0" borderId="6" xfId="0" applyFont="1" applyBorder="1" applyAlignment="1">
      <alignment horizontal="center" vertical="top"/>
    </xf>
    <xf numFmtId="2" fontId="39" fillId="0" borderId="5" xfId="0" applyNumberFormat="1" applyFont="1" applyBorder="1" applyAlignment="1">
      <alignment horizontal="center" vertical="top"/>
    </xf>
    <xf numFmtId="2" fontId="39" fillId="0" borderId="4" xfId="0" applyNumberFormat="1" applyFont="1" applyBorder="1" applyAlignment="1">
      <alignment horizontal="center" vertical="top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/>
    <xf numFmtId="168" fontId="0" fillId="0" borderId="10" xfId="0" applyNumberFormat="1" applyBorder="1"/>
    <xf numFmtId="168" fontId="0" fillId="0" borderId="11" xfId="0" applyNumberFormat="1" applyBorder="1"/>
    <xf numFmtId="0" fontId="8" fillId="0" borderId="13" xfId="0" applyFont="1" applyBorder="1"/>
    <xf numFmtId="0" fontId="0" fillId="0" borderId="13" xfId="0" applyBorder="1"/>
    <xf numFmtId="0" fontId="8" fillId="0" borderId="14" xfId="0" applyFont="1" applyBorder="1"/>
    <xf numFmtId="0" fontId="0" fillId="0" borderId="14" xfId="0" applyBorder="1"/>
    <xf numFmtId="173" fontId="28" fillId="0" borderId="13" xfId="0" applyNumberFormat="1" applyFont="1" applyBorder="1"/>
    <xf numFmtId="0" fontId="26" fillId="0" borderId="13" xfId="0" applyFont="1" applyBorder="1"/>
    <xf numFmtId="0" fontId="8" fillId="0" borderId="15" xfId="0" applyFont="1" applyBorder="1"/>
    <xf numFmtId="0" fontId="0" fillId="0" borderId="15" xfId="0" applyBorder="1"/>
    <xf numFmtId="0" fontId="26" fillId="0" borderId="10" xfId="0" applyFont="1" applyBorder="1"/>
    <xf numFmtId="0" fontId="8" fillId="11" borderId="13" xfId="0" applyFont="1" applyFill="1" applyBorder="1"/>
    <xf numFmtId="0" fontId="0" fillId="11" borderId="13" xfId="0" applyFill="1" applyBorder="1"/>
    <xf numFmtId="2" fontId="24" fillId="11" borderId="0" xfId="0" applyNumberFormat="1" applyFont="1" applyFill="1"/>
    <xf numFmtId="0" fontId="39" fillId="12" borderId="6" xfId="0" applyFont="1" applyFill="1" applyBorder="1" applyAlignment="1">
      <alignment horizontal="center" vertical="top"/>
    </xf>
    <xf numFmtId="2" fontId="39" fillId="12" borderId="5" xfId="0" applyNumberFormat="1" applyFont="1" applyFill="1" applyBorder="1" applyAlignment="1">
      <alignment horizontal="center" vertical="top"/>
    </xf>
    <xf numFmtId="2" fontId="39" fillId="12" borderId="4" xfId="0" applyNumberFormat="1" applyFont="1" applyFill="1" applyBorder="1" applyAlignment="1">
      <alignment horizontal="center" vertical="top"/>
    </xf>
    <xf numFmtId="0" fontId="8" fillId="12" borderId="13" xfId="0" applyFont="1" applyFill="1" applyBorder="1"/>
    <xf numFmtId="0" fontId="8" fillId="12" borderId="11" xfId="0" applyFont="1" applyFill="1" applyBorder="1"/>
    <xf numFmtId="0" fontId="0" fillId="12" borderId="11" xfId="0" applyFill="1" applyBorder="1"/>
    <xf numFmtId="0" fontId="0" fillId="12" borderId="13" xfId="0" applyFill="1" applyBorder="1"/>
    <xf numFmtId="0" fontId="39" fillId="13" borderId="6" xfId="0" applyFont="1" applyFill="1" applyBorder="1" applyAlignment="1">
      <alignment horizontal="center" vertical="top"/>
    </xf>
    <xf numFmtId="2" fontId="39" fillId="13" borderId="5" xfId="0" applyNumberFormat="1" applyFont="1" applyFill="1" applyBorder="1" applyAlignment="1">
      <alignment horizontal="center" vertical="top"/>
    </xf>
    <xf numFmtId="2" fontId="39" fillId="13" borderId="4" xfId="0" applyNumberFormat="1" applyFont="1" applyFill="1" applyBorder="1" applyAlignment="1">
      <alignment horizontal="center" vertical="top"/>
    </xf>
    <xf numFmtId="0" fontId="8" fillId="13" borderId="13" xfId="0" applyFont="1" applyFill="1" applyBorder="1"/>
    <xf numFmtId="0" fontId="0" fillId="13" borderId="13" xfId="0" applyFill="1" applyBorder="1"/>
    <xf numFmtId="0" fontId="8" fillId="13" borderId="11" xfId="0" applyFont="1" applyFill="1" applyBorder="1"/>
    <xf numFmtId="0" fontId="0" fillId="13" borderId="11" xfId="0" applyFill="1" applyBorder="1"/>
    <xf numFmtId="2" fontId="24" fillId="13" borderId="0" xfId="0" applyNumberFormat="1" applyFont="1" applyFill="1"/>
    <xf numFmtId="0" fontId="39" fillId="14" borderId="6" xfId="0" applyFont="1" applyFill="1" applyBorder="1" applyAlignment="1">
      <alignment horizontal="center" vertical="top"/>
    </xf>
    <xf numFmtId="2" fontId="39" fillId="14" borderId="5" xfId="0" applyNumberFormat="1" applyFont="1" applyFill="1" applyBorder="1" applyAlignment="1">
      <alignment horizontal="center" vertical="top"/>
    </xf>
    <xf numFmtId="2" fontId="39" fillId="14" borderId="4" xfId="0" applyNumberFormat="1" applyFont="1" applyFill="1" applyBorder="1" applyAlignment="1">
      <alignment horizontal="center" vertical="top"/>
    </xf>
    <xf numFmtId="0" fontId="8" fillId="14" borderId="11" xfId="0" applyFont="1" applyFill="1" applyBorder="1"/>
    <xf numFmtId="0" fontId="0" fillId="14" borderId="11" xfId="0" applyFill="1" applyBorder="1"/>
    <xf numFmtId="0" fontId="8" fillId="14" borderId="13" xfId="0" applyFont="1" applyFill="1" applyBorder="1"/>
    <xf numFmtId="0" fontId="0" fillId="14" borderId="13" xfId="0" applyFill="1" applyBorder="1"/>
    <xf numFmtId="2" fontId="24" fillId="14" borderId="0" xfId="0" applyNumberFormat="1" applyFont="1" applyFill="1"/>
    <xf numFmtId="0" fontId="39" fillId="15" borderId="6" xfId="0" applyFont="1" applyFill="1" applyBorder="1" applyAlignment="1">
      <alignment horizontal="center" vertical="top"/>
    </xf>
    <xf numFmtId="2" fontId="39" fillId="15" borderId="5" xfId="0" applyNumberFormat="1" applyFont="1" applyFill="1" applyBorder="1" applyAlignment="1">
      <alignment horizontal="center" vertical="top"/>
    </xf>
    <xf numFmtId="2" fontId="39" fillId="15" borderId="4" xfId="0" applyNumberFormat="1" applyFont="1" applyFill="1" applyBorder="1" applyAlignment="1">
      <alignment horizontal="center" vertical="top"/>
    </xf>
    <xf numFmtId="0" fontId="8" fillId="15" borderId="13" xfId="0" applyFont="1" applyFill="1" applyBorder="1"/>
    <xf numFmtId="0" fontId="0" fillId="15" borderId="13" xfId="0" applyFill="1" applyBorder="1"/>
    <xf numFmtId="2" fontId="24" fillId="15" borderId="0" xfId="0" applyNumberFormat="1" applyFont="1" applyFill="1"/>
    <xf numFmtId="0" fontId="39" fillId="16" borderId="6" xfId="0" applyFont="1" applyFill="1" applyBorder="1" applyAlignment="1">
      <alignment horizontal="center" vertical="top"/>
    </xf>
    <xf numFmtId="2" fontId="39" fillId="16" borderId="5" xfId="0" applyNumberFormat="1" applyFont="1" applyFill="1" applyBorder="1" applyAlignment="1">
      <alignment horizontal="center" vertical="top"/>
    </xf>
    <xf numFmtId="2" fontId="39" fillId="16" borderId="4" xfId="0" applyNumberFormat="1" applyFont="1" applyFill="1" applyBorder="1" applyAlignment="1">
      <alignment horizontal="center" vertical="top"/>
    </xf>
    <xf numFmtId="0" fontId="8" fillId="16" borderId="13" xfId="0" applyFont="1" applyFill="1" applyBorder="1"/>
    <xf numFmtId="0" fontId="0" fillId="16" borderId="13" xfId="0" applyFill="1" applyBorder="1"/>
    <xf numFmtId="2" fontId="24" fillId="16" borderId="0" xfId="0" applyNumberFormat="1" applyFont="1" applyFill="1"/>
    <xf numFmtId="0" fontId="39" fillId="17" borderId="6" xfId="0" applyFont="1" applyFill="1" applyBorder="1" applyAlignment="1">
      <alignment horizontal="center" vertical="top"/>
    </xf>
    <xf numFmtId="2" fontId="39" fillId="17" borderId="5" xfId="0" applyNumberFormat="1" applyFont="1" applyFill="1" applyBorder="1" applyAlignment="1">
      <alignment horizontal="center" vertical="top"/>
    </xf>
    <xf numFmtId="2" fontId="39" fillId="17" borderId="4" xfId="0" applyNumberFormat="1" applyFont="1" applyFill="1" applyBorder="1" applyAlignment="1">
      <alignment horizontal="center" vertical="top"/>
    </xf>
    <xf numFmtId="0" fontId="8" fillId="17" borderId="13" xfId="0" applyFont="1" applyFill="1" applyBorder="1"/>
    <xf numFmtId="0" fontId="0" fillId="17" borderId="13" xfId="0" applyFill="1" applyBorder="1"/>
    <xf numFmtId="0" fontId="0" fillId="17" borderId="11" xfId="0" applyFill="1" applyBorder="1"/>
    <xf numFmtId="2" fontId="24" fillId="17" borderId="0" xfId="0" applyNumberFormat="1" applyFont="1" applyFill="1"/>
    <xf numFmtId="0" fontId="24" fillId="18" borderId="0" xfId="0" applyFont="1" applyFill="1"/>
    <xf numFmtId="172" fontId="37" fillId="0" borderId="0" xfId="0" applyNumberFormat="1" applyFont="1"/>
    <xf numFmtId="0" fontId="40" fillId="0" borderId="0" xfId="0" applyFont="1"/>
    <xf numFmtId="172" fontId="12" fillId="0" borderId="0" xfId="0" applyNumberFormat="1" applyFont="1"/>
    <xf numFmtId="0" fontId="0" fillId="0" borderId="3" xfId="0" applyBorder="1"/>
    <xf numFmtId="168" fontId="8" fillId="0" borderId="16" xfId="0" applyNumberFormat="1" applyFont="1" applyBorder="1"/>
    <xf numFmtId="0" fontId="0" fillId="0" borderId="6" xfId="0" applyBorder="1"/>
    <xf numFmtId="0" fontId="24" fillId="0" borderId="0" xfId="0" applyFont="1" applyFill="1"/>
    <xf numFmtId="0" fontId="0" fillId="0" borderId="17" xfId="0" applyFill="1" applyBorder="1"/>
    <xf numFmtId="14" fontId="0" fillId="0" borderId="17" xfId="0" applyNumberFormat="1" applyFill="1" applyBorder="1"/>
    <xf numFmtId="0" fontId="0" fillId="0" borderId="18" xfId="0" applyFill="1" applyBorder="1"/>
    <xf numFmtId="0" fontId="0" fillId="0" borderId="8" xfId="0" applyFill="1" applyBorder="1"/>
    <xf numFmtId="0" fontId="37" fillId="19" borderId="0" xfId="0" applyFont="1" applyFill="1"/>
    <xf numFmtId="0" fontId="0" fillId="19" borderId="0" xfId="0" applyFill="1"/>
    <xf numFmtId="174" fontId="0" fillId="0" borderId="0" xfId="0" applyNumberFormat="1" applyAlignment="1">
      <alignment vertical="top"/>
    </xf>
    <xf numFmtId="1" fontId="0" fillId="0" borderId="0" xfId="0" applyNumberFormat="1" applyAlignment="1">
      <alignment vertical="top"/>
    </xf>
    <xf numFmtId="0" fontId="0" fillId="0" borderId="0" xfId="0" applyAlignment="1">
      <alignment vertical="top"/>
    </xf>
    <xf numFmtId="2" fontId="0" fillId="0" borderId="11" xfId="0" applyNumberFormat="1" applyBorder="1" applyAlignment="1">
      <alignment vertical="top" wrapText="1"/>
    </xf>
    <xf numFmtId="2" fontId="0" fillId="0" borderId="0" xfId="0" applyNumberFormat="1" applyAlignment="1">
      <alignment vertical="top"/>
    </xf>
    <xf numFmtId="2" fontId="0" fillId="0" borderId="0" xfId="0" applyNumberFormat="1" applyAlignment="1">
      <alignment vertical="top" wrapText="1"/>
    </xf>
    <xf numFmtId="2" fontId="0" fillId="0" borderId="0" xfId="0" applyNumberFormat="1" applyAlignment="1">
      <alignment horizontal="center" vertical="top" wrapText="1"/>
    </xf>
    <xf numFmtId="0" fontId="37" fillId="0" borderId="19" xfId="0" applyFont="1" applyBorder="1" applyAlignment="1">
      <alignment vertical="top"/>
    </xf>
    <xf numFmtId="0" fontId="0" fillId="0" borderId="20" xfId="0" applyBorder="1" applyAlignment="1">
      <alignment vertical="top"/>
    </xf>
    <xf numFmtId="0" fontId="0" fillId="0" borderId="21" xfId="0" applyBorder="1"/>
    <xf numFmtId="174" fontId="0" fillId="0" borderId="11" xfId="0" applyNumberFormat="1" applyBorder="1" applyAlignment="1">
      <alignment vertical="top" wrapText="1"/>
    </xf>
    <xf numFmtId="1" fontId="0" fillId="0" borderId="11" xfId="0" applyNumberFormat="1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11" xfId="0" applyBorder="1" applyAlignment="1">
      <alignment vertical="top"/>
    </xf>
    <xf numFmtId="2" fontId="0" fillId="0" borderId="7" xfId="0" applyNumberFormat="1" applyBorder="1" applyAlignment="1">
      <alignment vertical="top" wrapText="1"/>
    </xf>
    <xf numFmtId="2" fontId="0" fillId="0" borderId="9" xfId="0" applyNumberFormat="1" applyBorder="1" applyAlignment="1">
      <alignment vertical="top" wrapText="1"/>
    </xf>
    <xf numFmtId="2" fontId="0" fillId="0" borderId="9" xfId="0" applyNumberFormat="1" applyBorder="1" applyAlignment="1">
      <alignment vertical="top"/>
    </xf>
    <xf numFmtId="0" fontId="37" fillId="0" borderId="22" xfId="0" applyFont="1" applyBorder="1" applyAlignment="1">
      <alignment vertical="top" wrapText="1"/>
    </xf>
    <xf numFmtId="2" fontId="24" fillId="0" borderId="4" xfId="0" applyNumberFormat="1" applyFont="1" applyBorder="1" applyAlignment="1">
      <alignment vertical="top" wrapText="1"/>
    </xf>
    <xf numFmtId="0" fontId="37" fillId="0" borderId="0" xfId="0" applyFont="1" applyAlignment="1">
      <alignment vertical="center" wrapText="1"/>
    </xf>
    <xf numFmtId="0" fontId="37" fillId="0" borderId="23" xfId="0" applyFont="1" applyBorder="1" applyAlignment="1">
      <alignment wrapText="1"/>
    </xf>
    <xf numFmtId="0" fontId="0" fillId="20" borderId="0" xfId="0" applyFill="1"/>
    <xf numFmtId="2" fontId="0" fillId="20" borderId="0" xfId="0" applyNumberFormat="1" applyFill="1"/>
    <xf numFmtId="0" fontId="3" fillId="0" borderId="22" xfId="0" applyFont="1" applyBorder="1" applyAlignment="1">
      <alignment vertical="top"/>
    </xf>
    <xf numFmtId="0" fontId="3" fillId="0" borderId="0" xfId="0" applyFont="1" applyAlignment="1">
      <alignment vertical="top"/>
    </xf>
    <xf numFmtId="2" fontId="12" fillId="0" borderId="0" xfId="0" applyNumberFormat="1" applyFont="1" applyAlignment="1">
      <alignment vertical="top"/>
    </xf>
    <xf numFmtId="2" fontId="37" fillId="0" borderId="23" xfId="0" applyNumberFormat="1" applyFont="1" applyBorder="1"/>
    <xf numFmtId="174" fontId="17" fillId="0" borderId="0" xfId="0" applyNumberFormat="1" applyFont="1"/>
    <xf numFmtId="173" fontId="0" fillId="0" borderId="0" xfId="0" applyNumberFormat="1"/>
    <xf numFmtId="2" fontId="0" fillId="0" borderId="4" xfId="0" applyNumberFormat="1" applyBorder="1"/>
    <xf numFmtId="2" fontId="0" fillId="0" borderId="6" xfId="0" applyNumberFormat="1" applyBorder="1"/>
    <xf numFmtId="2" fontId="12" fillId="0" borderId="12" xfId="0" applyNumberFormat="1" applyFont="1" applyBorder="1"/>
    <xf numFmtId="2" fontId="37" fillId="0" borderId="25" xfId="0" applyNumberFormat="1" applyFont="1" applyBorder="1"/>
    <xf numFmtId="174" fontId="0" fillId="0" borderId="0" xfId="0" applyNumberFormat="1"/>
    <xf numFmtId="0" fontId="0" fillId="21" borderId="0" xfId="0" applyFill="1"/>
    <xf numFmtId="0" fontId="37" fillId="0" borderId="0" xfId="0" applyFont="1" applyAlignment="1">
      <alignment wrapText="1"/>
    </xf>
    <xf numFmtId="2" fontId="26" fillId="5" borderId="0" xfId="0" applyNumberFormat="1" applyFont="1" applyFill="1"/>
    <xf numFmtId="2" fontId="8" fillId="5" borderId="0" xfId="0" applyNumberFormat="1" applyFont="1" applyFill="1"/>
    <xf numFmtId="2" fontId="24" fillId="0" borderId="0" xfId="0" applyNumberFormat="1" applyFont="1"/>
    <xf numFmtId="2" fontId="24" fillId="0" borderId="0" xfId="0" quotePrefix="1" applyNumberFormat="1" applyFont="1"/>
    <xf numFmtId="2" fontId="44" fillId="5" borderId="0" xfId="0" applyNumberFormat="1" applyFont="1" applyFill="1"/>
    <xf numFmtId="2" fontId="44" fillId="0" borderId="0" xfId="0" applyNumberFormat="1" applyFont="1"/>
    <xf numFmtId="170" fontId="2" fillId="0" borderId="0" xfId="0" applyNumberFormat="1" applyFont="1"/>
    <xf numFmtId="0" fontId="0" fillId="0" borderId="0" xfId="0"/>
    <xf numFmtId="0" fontId="0" fillId="0" borderId="26" xfId="0" applyBorder="1" applyAlignment="1">
      <alignment horizontal="right"/>
    </xf>
    <xf numFmtId="0" fontId="0" fillId="0" borderId="29" xfId="0" applyBorder="1" applyAlignment="1">
      <alignment horizontal="right"/>
    </xf>
    <xf numFmtId="0" fontId="0" fillId="0" borderId="31" xfId="0" applyBorder="1" applyAlignment="1">
      <alignment horizontal="right"/>
    </xf>
    <xf numFmtId="0" fontId="0" fillId="0" borderId="0" xfId="0" applyAlignment="1">
      <alignment horizontal="right"/>
    </xf>
    <xf numFmtId="0" fontId="46" fillId="0" borderId="0" xfId="0" applyFont="1"/>
    <xf numFmtId="0" fontId="22" fillId="0" borderId="0" xfId="0" applyFont="1" applyAlignment="1">
      <alignment vertical="center"/>
    </xf>
    <xf numFmtId="0" fontId="0" fillId="2" borderId="0" xfId="0" applyFill="1"/>
    <xf numFmtId="14" fontId="13" fillId="0" borderId="17" xfId="0" applyNumberFormat="1" applyFont="1" applyBorder="1"/>
    <xf numFmtId="0" fontId="13" fillId="0" borderId="17" xfId="0" applyFont="1" applyBorder="1"/>
    <xf numFmtId="0" fontId="0" fillId="0" borderId="17" xfId="0" applyBorder="1"/>
    <xf numFmtId="0" fontId="0" fillId="0" borderId="2" xfId="0" applyBorder="1"/>
    <xf numFmtId="0" fontId="13" fillId="0" borderId="34" xfId="0" applyFont="1" applyBorder="1"/>
    <xf numFmtId="0" fontId="13" fillId="0" borderId="8" xfId="0" applyFont="1" applyBorder="1"/>
    <xf numFmtId="0" fontId="0" fillId="0" borderId="8" xfId="0" applyBorder="1"/>
    <xf numFmtId="0" fontId="0" fillId="0" borderId="34" xfId="0" applyBorder="1"/>
    <xf numFmtId="14" fontId="13" fillId="0" borderId="8" xfId="0" applyNumberFormat="1" applyFont="1" applyBorder="1"/>
    <xf numFmtId="14" fontId="13" fillId="4" borderId="8" xfId="0" applyNumberFormat="1" applyFont="1" applyFill="1" applyBorder="1"/>
    <xf numFmtId="0" fontId="13" fillId="4" borderId="17" xfId="0" applyFont="1" applyFill="1" applyBorder="1"/>
    <xf numFmtId="0" fontId="0" fillId="4" borderId="17" xfId="0" applyFill="1" applyBorder="1"/>
    <xf numFmtId="14" fontId="13" fillId="2" borderId="8" xfId="0" applyNumberFormat="1" applyFont="1" applyFill="1" applyBorder="1"/>
    <xf numFmtId="0" fontId="13" fillId="2" borderId="17" xfId="0" applyFont="1" applyFill="1" applyBorder="1"/>
    <xf numFmtId="2" fontId="8" fillId="2" borderId="17" xfId="0" applyNumberFormat="1" applyFont="1" applyFill="1" applyBorder="1"/>
    <xf numFmtId="0" fontId="0" fillId="2" borderId="17" xfId="0" applyFill="1" applyBorder="1"/>
    <xf numFmtId="0" fontId="13" fillId="2" borderId="8" xfId="0" applyFont="1" applyFill="1" applyBorder="1"/>
    <xf numFmtId="2" fontId="8" fillId="2" borderId="8" xfId="0" applyNumberFormat="1" applyFont="1" applyFill="1" applyBorder="1"/>
    <xf numFmtId="0" fontId="0" fillId="2" borderId="8" xfId="0" applyFill="1" applyBorder="1"/>
    <xf numFmtId="14" fontId="13" fillId="2" borderId="17" xfId="0" applyNumberFormat="1" applyFont="1" applyFill="1" applyBorder="1"/>
    <xf numFmtId="0" fontId="13" fillId="2" borderId="34" xfId="0" applyFont="1" applyFill="1" applyBorder="1"/>
    <xf numFmtId="2" fontId="8" fillId="2" borderId="34" xfId="0" applyNumberFormat="1" applyFont="1" applyFill="1" applyBorder="1"/>
    <xf numFmtId="0" fontId="0" fillId="2" borderId="35" xfId="0" applyFill="1" applyBorder="1"/>
    <xf numFmtId="14" fontId="13" fillId="4" borderId="17" xfId="0" applyNumberFormat="1" applyFont="1" applyFill="1" applyBorder="1"/>
    <xf numFmtId="0" fontId="2" fillId="0" borderId="0" xfId="0" applyFont="1" applyAlignment="1">
      <alignment wrapText="1"/>
    </xf>
    <xf numFmtId="0" fontId="2" fillId="4" borderId="0" xfId="2" applyFont="1" applyFill="1"/>
    <xf numFmtId="2" fontId="12" fillId="4" borderId="0" xfId="0" applyNumberFormat="1" applyFont="1" applyFill="1"/>
    <xf numFmtId="0" fontId="37" fillId="4" borderId="0" xfId="0" applyFont="1" applyFill="1"/>
    <xf numFmtId="0" fontId="2" fillId="0" borderId="0" xfId="2" applyFont="1"/>
    <xf numFmtId="0" fontId="0" fillId="23" borderId="0" xfId="0" applyFill="1"/>
    <xf numFmtId="14" fontId="13" fillId="23" borderId="17" xfId="0" applyNumberFormat="1" applyFont="1" applyFill="1" applyBorder="1"/>
    <xf numFmtId="0" fontId="17" fillId="23" borderId="17" xfId="0" applyFont="1" applyFill="1" applyBorder="1"/>
    <xf numFmtId="0" fontId="13" fillId="23" borderId="17" xfId="0" applyFont="1" applyFill="1" applyBorder="1"/>
    <xf numFmtId="0" fontId="0" fillId="23" borderId="17" xfId="0" applyFill="1" applyBorder="1"/>
    <xf numFmtId="2" fontId="0" fillId="23" borderId="0" xfId="0" applyNumberFormat="1" applyFill="1"/>
    <xf numFmtId="9" fontId="0" fillId="23" borderId="0" xfId="1" applyFont="1" applyFill="1"/>
    <xf numFmtId="0" fontId="2" fillId="24" borderId="0" xfId="0" applyFont="1" applyFill="1"/>
    <xf numFmtId="0" fontId="0" fillId="24" borderId="0" xfId="0" applyFill="1"/>
    <xf numFmtId="0" fontId="13" fillId="23" borderId="34" xfId="0" applyFont="1" applyFill="1" applyBorder="1"/>
    <xf numFmtId="0" fontId="0" fillId="23" borderId="34" xfId="0" applyFill="1" applyBorder="1"/>
    <xf numFmtId="14" fontId="13" fillId="23" borderId="8" xfId="0" applyNumberFormat="1" applyFont="1" applyFill="1" applyBorder="1"/>
    <xf numFmtId="0" fontId="13" fillId="23" borderId="8" xfId="0" applyFont="1" applyFill="1" applyBorder="1"/>
    <xf numFmtId="0" fontId="0" fillId="23" borderId="8" xfId="0" applyFill="1" applyBorder="1"/>
    <xf numFmtId="10" fontId="0" fillId="23" borderId="0" xfId="1" applyNumberFormat="1" applyFont="1" applyFill="1"/>
    <xf numFmtId="0" fontId="24" fillId="4" borderId="0" xfId="0" applyFont="1" applyFill="1"/>
    <xf numFmtId="14" fontId="24" fillId="0" borderId="0" xfId="0" applyNumberFormat="1" applyFont="1"/>
    <xf numFmtId="0" fontId="24" fillId="19" borderId="0" xfId="0" applyFont="1" applyFill="1"/>
    <xf numFmtId="168" fontId="0" fillId="4" borderId="0" xfId="0" applyNumberFormat="1" applyFill="1"/>
    <xf numFmtId="168" fontId="0" fillId="19" borderId="0" xfId="0" applyNumberFormat="1" applyFill="1"/>
    <xf numFmtId="0" fontId="0" fillId="0" borderId="36" xfId="0" applyBorder="1"/>
    <xf numFmtId="1" fontId="0" fillId="0" borderId="36" xfId="0" applyNumberFormat="1" applyBorder="1"/>
    <xf numFmtId="2" fontId="0" fillId="0" borderId="36" xfId="0" applyNumberFormat="1" applyBorder="1"/>
    <xf numFmtId="168" fontId="0" fillId="0" borderId="36" xfId="0" applyNumberFormat="1" applyBorder="1"/>
    <xf numFmtId="168" fontId="0" fillId="4" borderId="36" xfId="0" applyNumberFormat="1" applyFill="1" applyBorder="1"/>
    <xf numFmtId="14" fontId="0" fillId="0" borderId="36" xfId="0" applyNumberFormat="1" applyBorder="1"/>
    <xf numFmtId="1" fontId="24" fillId="0" borderId="0" xfId="0" applyNumberFormat="1" applyFont="1"/>
    <xf numFmtId="175" fontId="24" fillId="0" borderId="0" xfId="0" applyNumberFormat="1" applyFont="1"/>
    <xf numFmtId="0" fontId="24" fillId="0" borderId="0" xfId="0" applyFont="1" applyAlignment="1">
      <alignment horizontal="center" vertical="center"/>
    </xf>
    <xf numFmtId="175" fontId="24" fillId="0" borderId="0" xfId="0" applyNumberFormat="1" applyFont="1" applyAlignment="1">
      <alignment horizontal="left"/>
    </xf>
    <xf numFmtId="1" fontId="24" fillId="0" borderId="0" xfId="0" applyNumberFormat="1" applyFont="1" applyAlignment="1">
      <alignment horizontal="left"/>
    </xf>
    <xf numFmtId="168" fontId="24" fillId="0" borderId="0" xfId="0" applyNumberFormat="1" applyFont="1" applyAlignment="1">
      <alignment horizontal="center"/>
    </xf>
    <xf numFmtId="14" fontId="28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24" fillId="0" borderId="0" xfId="0" applyFont="1" applyAlignment="1">
      <alignment horizontal="center"/>
    </xf>
    <xf numFmtId="175" fontId="0" fillId="0" borderId="0" xfId="0" applyNumberFormat="1" applyAlignment="1">
      <alignment horizontal="left"/>
    </xf>
    <xf numFmtId="0" fontId="0" fillId="0" borderId="0" xfId="0" applyAlignment="1">
      <alignment horizontal="left" vertical="center"/>
    </xf>
    <xf numFmtId="168" fontId="22" fillId="0" borderId="0" xfId="0" applyNumberFormat="1" applyFont="1" applyAlignment="1">
      <alignment horizontal="left"/>
    </xf>
    <xf numFmtId="14" fontId="26" fillId="0" borderId="0" xfId="0" applyNumberFormat="1" applyFont="1" applyAlignment="1">
      <alignment horizontal="left"/>
    </xf>
    <xf numFmtId="14" fontId="8" fillId="0" borderId="0" xfId="0" applyNumberFormat="1" applyFont="1" applyAlignment="1">
      <alignment horizontal="left"/>
    </xf>
    <xf numFmtId="0" fontId="22" fillId="0" borderId="0" xfId="0" applyFont="1" applyAlignment="1">
      <alignment horizontal="left"/>
    </xf>
    <xf numFmtId="0" fontId="49" fillId="0" borderId="0" xfId="2" applyFont="1" applyAlignment="1">
      <alignment horizontal="left"/>
    </xf>
    <xf numFmtId="0" fontId="50" fillId="0" borderId="0" xfId="0" applyFont="1" applyAlignment="1">
      <alignment horizontal="left"/>
    </xf>
    <xf numFmtId="0" fontId="52" fillId="0" borderId="0" xfId="3" applyFont="1" applyFill="1"/>
    <xf numFmtId="1" fontId="0" fillId="4" borderId="0" xfId="0" applyNumberFormat="1" applyFill="1" applyAlignment="1">
      <alignment horizontal="left"/>
    </xf>
    <xf numFmtId="0" fontId="3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" fontId="22" fillId="0" borderId="0" xfId="0" applyNumberFormat="1" applyFont="1" applyAlignment="1">
      <alignment horizontal="left"/>
    </xf>
    <xf numFmtId="0" fontId="31" fillId="0" borderId="0" xfId="3" applyFont="1" applyFill="1"/>
    <xf numFmtId="0" fontId="22" fillId="0" borderId="0" xfId="0" quotePrefix="1" applyFont="1" applyAlignment="1">
      <alignment horizontal="left"/>
    </xf>
    <xf numFmtId="0" fontId="3" fillId="4" borderId="0" xfId="0" applyFont="1" applyFill="1" applyAlignment="1">
      <alignment horizontal="left"/>
    </xf>
    <xf numFmtId="0" fontId="3" fillId="0" borderId="0" xfId="0" applyFont="1" applyAlignment="1">
      <alignment horizontal="left" vertical="center"/>
    </xf>
    <xf numFmtId="175" fontId="3" fillId="0" borderId="0" xfId="0" applyNumberFormat="1" applyFont="1" applyAlignment="1">
      <alignment horizontal="left"/>
    </xf>
    <xf numFmtId="10" fontId="22" fillId="0" borderId="0" xfId="0" applyNumberFormat="1" applyFont="1" applyAlignment="1">
      <alignment horizontal="right"/>
    </xf>
    <xf numFmtId="176" fontId="22" fillId="0" borderId="0" xfId="1" applyNumberFormat="1" applyFont="1" applyFill="1" applyAlignment="1">
      <alignment horizontal="left"/>
    </xf>
    <xf numFmtId="2" fontId="22" fillId="0" borderId="0" xfId="0" applyNumberFormat="1" applyFont="1" applyAlignment="1">
      <alignment horizontal="left"/>
    </xf>
    <xf numFmtId="176" fontId="22" fillId="0" borderId="0" xfId="0" applyNumberFormat="1" applyFont="1" applyAlignment="1">
      <alignment horizontal="left"/>
    </xf>
    <xf numFmtId="0" fontId="14" fillId="0" borderId="0" xfId="0" applyFont="1"/>
    <xf numFmtId="0" fontId="16" fillId="0" borderId="0" xfId="0" applyFont="1" applyAlignment="1">
      <alignment horizontal="left" vertical="center"/>
    </xf>
    <xf numFmtId="0" fontId="0" fillId="4" borderId="0" xfId="0" applyFill="1" applyAlignment="1">
      <alignment horizontal="left"/>
    </xf>
    <xf numFmtId="2" fontId="0" fillId="4" borderId="0" xfId="0" applyNumberFormat="1" applyFill="1"/>
    <xf numFmtId="168" fontId="3" fillId="4" borderId="0" xfId="0" applyNumberFormat="1" applyFont="1" applyFill="1"/>
    <xf numFmtId="168" fontId="3" fillId="0" borderId="0" xfId="0" applyNumberFormat="1" applyFont="1"/>
    <xf numFmtId="1" fontId="3" fillId="0" borderId="0" xfId="0" applyNumberFormat="1" applyFont="1"/>
    <xf numFmtId="0" fontId="1" fillId="0" borderId="0" xfId="0" applyFont="1" applyAlignment="1">
      <alignment horizontal="left"/>
    </xf>
    <xf numFmtId="175" fontId="1" fillId="0" borderId="0" xfId="0" applyNumberFormat="1" applyFont="1" applyAlignment="1">
      <alignment horizontal="left"/>
    </xf>
    <xf numFmtId="1" fontId="1" fillId="0" borderId="0" xfId="0" applyNumberFormat="1" applyFont="1" applyAlignment="1">
      <alignment horizontal="left"/>
    </xf>
    <xf numFmtId="168" fontId="50" fillId="0" borderId="0" xfId="0" applyNumberFormat="1" applyFont="1" applyAlignment="1">
      <alignment horizontal="left"/>
    </xf>
    <xf numFmtId="1" fontId="50" fillId="0" borderId="0" xfId="0" applyNumberFormat="1" applyFont="1" applyAlignment="1">
      <alignment horizontal="left"/>
    </xf>
    <xf numFmtId="0" fontId="36" fillId="0" borderId="0" xfId="0" applyFont="1" applyAlignment="1">
      <alignment horizontal="left" vertical="center"/>
    </xf>
    <xf numFmtId="0" fontId="0" fillId="25" borderId="0" xfId="0" applyFill="1"/>
    <xf numFmtId="1" fontId="0" fillId="25" borderId="0" xfId="0" applyNumberFormat="1" applyFill="1"/>
    <xf numFmtId="2" fontId="0" fillId="25" borderId="0" xfId="0" applyNumberFormat="1" applyFill="1"/>
    <xf numFmtId="168" fontId="0" fillId="25" borderId="0" xfId="0" applyNumberFormat="1" applyFill="1"/>
    <xf numFmtId="14" fontId="0" fillId="25" borderId="0" xfId="0" applyNumberFormat="1" applyFill="1"/>
    <xf numFmtId="2" fontId="38" fillId="25" borderId="0" xfId="0" applyNumberFormat="1" applyFont="1" applyFill="1"/>
    <xf numFmtId="0" fontId="54" fillId="0" borderId="0" xfId="0" applyFont="1"/>
    <xf numFmtId="1" fontId="54" fillId="0" borderId="0" xfId="0" applyNumberFormat="1" applyFont="1"/>
    <xf numFmtId="2" fontId="54" fillId="0" borderId="0" xfId="0" applyNumberFormat="1" applyFont="1"/>
    <xf numFmtId="168" fontId="54" fillId="0" borderId="0" xfId="0" applyNumberFormat="1" applyFont="1"/>
    <xf numFmtId="168" fontId="54" fillId="4" borderId="0" xfId="0" applyNumberFormat="1" applyFont="1" applyFill="1"/>
    <xf numFmtId="14" fontId="54" fillId="0" borderId="0" xfId="0" applyNumberFormat="1" applyFont="1"/>
    <xf numFmtId="168" fontId="54" fillId="19" borderId="0" xfId="0" applyNumberFormat="1" applyFont="1" applyFill="1"/>
    <xf numFmtId="2" fontId="17" fillId="0" borderId="0" xfId="0" applyNumberFormat="1" applyFont="1"/>
    <xf numFmtId="1" fontId="13" fillId="0" borderId="0" xfId="0" applyNumberFormat="1" applyFont="1" applyFill="1"/>
    <xf numFmtId="14" fontId="13" fillId="0" borderId="0" xfId="0" applyNumberFormat="1" applyFont="1" applyFill="1"/>
    <xf numFmtId="0" fontId="13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175" fontId="13" fillId="0" borderId="0" xfId="0" applyNumberFormat="1" applyFont="1" applyAlignment="1">
      <alignment horizontal="left"/>
    </xf>
    <xf numFmtId="1" fontId="13" fillId="0" borderId="0" xfId="0" applyNumberFormat="1" applyFont="1" applyAlignment="1">
      <alignment horizontal="left"/>
    </xf>
    <xf numFmtId="0" fontId="0" fillId="0" borderId="0" xfId="0"/>
    <xf numFmtId="0" fontId="2" fillId="0" borderId="0" xfId="0" applyFont="1"/>
    <xf numFmtId="0" fontId="56" fillId="0" borderId="0" xfId="0" applyFont="1"/>
    <xf numFmtId="0" fontId="57" fillId="0" borderId="0" xfId="0" applyFont="1"/>
    <xf numFmtId="14" fontId="13" fillId="0" borderId="17" xfId="0" applyNumberFormat="1" applyFont="1" applyFill="1" applyBorder="1"/>
    <xf numFmtId="0" fontId="13" fillId="0" borderId="17" xfId="0" applyFont="1" applyFill="1" applyBorder="1"/>
    <xf numFmtId="0" fontId="13" fillId="0" borderId="8" xfId="0" applyFont="1" applyFill="1" applyBorder="1"/>
    <xf numFmtId="10" fontId="0" fillId="0" borderId="0" xfId="1" applyNumberFormat="1" applyFont="1" applyFill="1"/>
    <xf numFmtId="9" fontId="0" fillId="0" borderId="0" xfId="1" applyFont="1" applyFill="1"/>
    <xf numFmtId="14" fontId="13" fillId="0" borderId="0" xfId="0" applyNumberFormat="1" applyFont="1" applyFill="1" applyBorder="1"/>
    <xf numFmtId="0" fontId="13" fillId="0" borderId="0" xfId="0" applyFont="1" applyFill="1" applyBorder="1"/>
    <xf numFmtId="2" fontId="0" fillId="0" borderId="0" xfId="0" applyNumberFormat="1" applyFill="1" applyBorder="1"/>
    <xf numFmtId="10" fontId="0" fillId="0" borderId="0" xfId="1" applyNumberFormat="1" applyFont="1" applyFill="1" applyBorder="1"/>
    <xf numFmtId="2" fontId="8" fillId="0" borderId="0" xfId="0" applyNumberFormat="1" applyFont="1" applyFill="1" applyBorder="1"/>
    <xf numFmtId="9" fontId="0" fillId="0" borderId="0" xfId="1" applyFont="1" applyFill="1" applyBorder="1"/>
    <xf numFmtId="177" fontId="0" fillId="0" borderId="0" xfId="0" applyNumberFormat="1" applyFill="1"/>
    <xf numFmtId="0" fontId="0" fillId="26" borderId="0" xfId="0" applyFill="1"/>
    <xf numFmtId="14" fontId="13" fillId="26" borderId="17" xfId="0" applyNumberFormat="1" applyFont="1" applyFill="1" applyBorder="1"/>
    <xf numFmtId="0" fontId="13" fillId="26" borderId="34" xfId="0" applyFont="1" applyFill="1" applyBorder="1"/>
    <xf numFmtId="2" fontId="8" fillId="26" borderId="34" xfId="0" applyNumberFormat="1" applyFont="1" applyFill="1" applyBorder="1"/>
    <xf numFmtId="0" fontId="0" fillId="26" borderId="34" xfId="0" applyFill="1" applyBorder="1"/>
    <xf numFmtId="2" fontId="0" fillId="26" borderId="0" xfId="0" applyNumberFormat="1" applyFill="1"/>
    <xf numFmtId="0" fontId="13" fillId="26" borderId="17" xfId="0" applyFont="1" applyFill="1" applyBorder="1"/>
    <xf numFmtId="2" fontId="8" fillId="26" borderId="17" xfId="0" applyNumberFormat="1" applyFont="1" applyFill="1" applyBorder="1"/>
    <xf numFmtId="0" fontId="0" fillId="26" borderId="17" xfId="0" applyFill="1" applyBorder="1"/>
    <xf numFmtId="0" fontId="0" fillId="27" borderId="0" xfId="0" applyFill="1"/>
    <xf numFmtId="14" fontId="13" fillId="27" borderId="17" xfId="0" applyNumberFormat="1" applyFont="1" applyFill="1" applyBorder="1"/>
    <xf numFmtId="0" fontId="13" fillId="27" borderId="17" xfId="0" applyFont="1" applyFill="1" applyBorder="1"/>
    <xf numFmtId="0" fontId="0" fillId="27" borderId="17" xfId="0" applyFill="1" applyBorder="1"/>
    <xf numFmtId="2" fontId="0" fillId="27" borderId="0" xfId="0" applyNumberFormat="1" applyFill="1"/>
    <xf numFmtId="10" fontId="0" fillId="27" borderId="0" xfId="1" applyNumberFormat="1" applyFont="1" applyFill="1"/>
    <xf numFmtId="0" fontId="13" fillId="27" borderId="2" xfId="0" applyFont="1" applyFill="1" applyBorder="1"/>
    <xf numFmtId="0" fontId="13" fillId="27" borderId="34" xfId="0" applyFont="1" applyFill="1" applyBorder="1"/>
    <xf numFmtId="0" fontId="0" fillId="27" borderId="34" xfId="0" applyFill="1" applyBorder="1"/>
    <xf numFmtId="0" fontId="0" fillId="28" borderId="0" xfId="0" applyFill="1"/>
    <xf numFmtId="14" fontId="13" fillId="28" borderId="17" xfId="0" applyNumberFormat="1" applyFont="1" applyFill="1" applyBorder="1"/>
    <xf numFmtId="0" fontId="17" fillId="28" borderId="17" xfId="0" applyFont="1" applyFill="1" applyBorder="1"/>
    <xf numFmtId="0" fontId="13" fillId="28" borderId="17" xfId="0" applyFont="1" applyFill="1" applyBorder="1"/>
    <xf numFmtId="0" fontId="0" fillId="28" borderId="17" xfId="0" applyFill="1" applyBorder="1"/>
    <xf numFmtId="2" fontId="0" fillId="28" borderId="0" xfId="0" applyNumberFormat="1" applyFill="1"/>
    <xf numFmtId="10" fontId="0" fillId="28" borderId="0" xfId="1" applyNumberFormat="1" applyFont="1" applyFill="1"/>
    <xf numFmtId="0" fontId="0" fillId="29" borderId="0" xfId="0" applyFill="1"/>
    <xf numFmtId="14" fontId="13" fillId="29" borderId="17" xfId="0" applyNumberFormat="1" applyFont="1" applyFill="1" applyBorder="1"/>
    <xf numFmtId="0" fontId="13" fillId="29" borderId="17" xfId="0" applyFont="1" applyFill="1" applyBorder="1"/>
    <xf numFmtId="0" fontId="0" fillId="29" borderId="17" xfId="0" applyFill="1" applyBorder="1"/>
    <xf numFmtId="2" fontId="0" fillId="29" borderId="0" xfId="0" applyNumberFormat="1" applyFill="1"/>
    <xf numFmtId="10" fontId="0" fillId="29" borderId="0" xfId="1" applyNumberFormat="1" applyFont="1" applyFill="1"/>
    <xf numFmtId="9" fontId="0" fillId="29" borderId="0" xfId="1" applyFont="1" applyFill="1"/>
    <xf numFmtId="9" fontId="0" fillId="28" borderId="0" xfId="1" applyFont="1" applyFill="1"/>
    <xf numFmtId="177" fontId="1" fillId="0" borderId="0" xfId="0" applyNumberFormat="1" applyFont="1" applyFill="1"/>
    <xf numFmtId="14" fontId="1" fillId="0" borderId="17" xfId="0" applyNumberFormat="1" applyFont="1" applyFill="1" applyBorder="1"/>
    <xf numFmtId="0" fontId="1" fillId="0" borderId="17" xfId="0" applyFont="1" applyFill="1" applyBorder="1"/>
    <xf numFmtId="0" fontId="1" fillId="0" borderId="17" xfId="0" applyFont="1" applyBorder="1"/>
    <xf numFmtId="10" fontId="1" fillId="0" borderId="0" xfId="1" applyNumberFormat="1" applyFont="1" applyFill="1"/>
    <xf numFmtId="9" fontId="1" fillId="0" borderId="0" xfId="1" applyFont="1" applyFill="1"/>
    <xf numFmtId="0" fontId="17" fillId="0" borderId="0" xfId="0" applyFont="1" applyAlignment="1">
      <alignment horizontal="center" wrapText="1"/>
    </xf>
    <xf numFmtId="0" fontId="17" fillId="0" borderId="11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3" fillId="0" borderId="0" xfId="0" applyFont="1" applyFill="1" applyAlignment="1">
      <alignment horizontal="left" wrapText="1"/>
    </xf>
    <xf numFmtId="0" fontId="24" fillId="0" borderId="0" xfId="0" applyFont="1" applyAlignment="1">
      <alignment horizontal="center" wrapText="1"/>
    </xf>
    <xf numFmtId="2" fontId="0" fillId="0" borderId="4" xfId="0" applyNumberFormat="1" applyBorder="1" applyAlignment="1">
      <alignment horizontal="center" vertical="top" wrapText="1"/>
    </xf>
    <xf numFmtId="2" fontId="0" fillId="0" borderId="0" xfId="0" applyNumberFormat="1" applyAlignment="1">
      <alignment horizontal="center" vertical="top" wrapText="1"/>
    </xf>
    <xf numFmtId="2" fontId="0" fillId="0" borderId="6" xfId="0" applyNumberFormat="1" applyBorder="1" applyAlignment="1">
      <alignment horizontal="center" vertical="top" wrapText="1"/>
    </xf>
    <xf numFmtId="0" fontId="12" fillId="0" borderId="24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0" fillId="22" borderId="29" xfId="0" applyFill="1" applyBorder="1"/>
    <xf numFmtId="0" fontId="0" fillId="0" borderId="0" xfId="0"/>
    <xf numFmtId="0" fontId="0" fillId="22" borderId="30" xfId="0" applyFill="1" applyBorder="1"/>
    <xf numFmtId="0" fontId="0" fillId="22" borderId="31" xfId="0" applyFill="1" applyBorder="1"/>
    <xf numFmtId="0" fontId="0" fillId="22" borderId="32" xfId="0" applyFill="1" applyBorder="1"/>
    <xf numFmtId="0" fontId="0" fillId="22" borderId="33" xfId="0" applyFill="1" applyBorder="1"/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0" fontId="47" fillId="0" borderId="0" xfId="0" applyFont="1"/>
    <xf numFmtId="0" fontId="45" fillId="0" borderId="0" xfId="0" applyFont="1" applyAlignment="1">
      <alignment horizontal="center" vertical="center"/>
    </xf>
    <xf numFmtId="15" fontId="0" fillId="0" borderId="27" xfId="0" applyNumberFormat="1" applyBorder="1"/>
    <xf numFmtId="0" fontId="0" fillId="0" borderId="28" xfId="0" applyBorder="1"/>
    <xf numFmtId="0" fontId="0" fillId="0" borderId="26" xfId="0" applyBorder="1"/>
    <xf numFmtId="0" fontId="0" fillId="0" borderId="27" xfId="0" applyBorder="1"/>
    <xf numFmtId="15" fontId="0" fillId="0" borderId="0" xfId="0" applyNumberFormat="1"/>
    <xf numFmtId="0" fontId="0" fillId="0" borderId="30" xfId="0" applyBorder="1"/>
    <xf numFmtId="0" fontId="0" fillId="0" borderId="29" xfId="0" applyBorder="1"/>
    <xf numFmtId="15" fontId="0" fillId="0" borderId="32" xfId="0" applyNumberFormat="1" applyBorder="1"/>
    <xf numFmtId="0" fontId="0" fillId="0" borderId="33" xfId="0" applyBorder="1"/>
    <xf numFmtId="0" fontId="0" fillId="0" borderId="31" xfId="0" applyBorder="1"/>
    <xf numFmtId="0" fontId="0" fillId="0" borderId="32" xfId="0" applyBorder="1"/>
    <xf numFmtId="0" fontId="0" fillId="22" borderId="26" xfId="0" applyFill="1" applyBorder="1"/>
    <xf numFmtId="0" fontId="0" fillId="22" borderId="27" xfId="0" applyFill="1" applyBorder="1"/>
    <xf numFmtId="0" fontId="0" fillId="22" borderId="28" xfId="0" applyFill="1" applyBorder="1"/>
    <xf numFmtId="0" fontId="2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59" fillId="0" borderId="0" xfId="0" applyFont="1" applyAlignment="1">
      <alignment horizontal="center" vertical="center"/>
    </xf>
    <xf numFmtId="0" fontId="59" fillId="0" borderId="0" xfId="0" applyFont="1"/>
    <xf numFmtId="0" fontId="58" fillId="0" borderId="0" xfId="0" applyFont="1"/>
    <xf numFmtId="0" fontId="55" fillId="0" borderId="0" xfId="0" applyFont="1" applyAlignment="1">
      <alignment horizontal="center" vertical="center"/>
    </xf>
    <xf numFmtId="0" fontId="57" fillId="0" borderId="0" xfId="0" applyFont="1"/>
    <xf numFmtId="0" fontId="17" fillId="4" borderId="0" xfId="0" applyFont="1" applyFill="1"/>
  </cellXfs>
  <cellStyles count="4">
    <cellStyle name="Hyperlink" xfId="3" builtinId="8"/>
    <cellStyle name="Normal" xfId="0" builtinId="0"/>
    <cellStyle name="Normal 2" xfId="2" xr:uid="{FD32E41C-BE52-49ED-B81E-9DB5B72C2B7D}"/>
    <cellStyle name="Percent" xfId="1" builtinId="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AU"/>
              <a:t>SAZ22 %CaCO3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47_1000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  <a:prstDash val="solid"/>
              </a:ln>
            </c:spPr>
          </c:marker>
          <c:xVal>
            <c:numRef>
              <c:f>main!$V$7:$V$27</c:f>
              <c:numCache>
                <c:formatCode>m/d/yyyy</c:formatCode>
                <c:ptCount val="21"/>
                <c:pt idx="0">
                  <c:v>44087</c:v>
                </c:pt>
                <c:pt idx="1">
                  <c:v>44097</c:v>
                </c:pt>
                <c:pt idx="2">
                  <c:v>44107</c:v>
                </c:pt>
                <c:pt idx="3">
                  <c:v>44117</c:v>
                </c:pt>
                <c:pt idx="4">
                  <c:v>44127</c:v>
                </c:pt>
                <c:pt idx="5">
                  <c:v>44137</c:v>
                </c:pt>
                <c:pt idx="6">
                  <c:v>44147</c:v>
                </c:pt>
                <c:pt idx="7">
                  <c:v>44157</c:v>
                </c:pt>
                <c:pt idx="8">
                  <c:v>44167</c:v>
                </c:pt>
                <c:pt idx="9">
                  <c:v>44177</c:v>
                </c:pt>
                <c:pt idx="10">
                  <c:v>44187</c:v>
                </c:pt>
                <c:pt idx="11">
                  <c:v>44197</c:v>
                </c:pt>
                <c:pt idx="12">
                  <c:v>44207</c:v>
                </c:pt>
                <c:pt idx="13">
                  <c:v>44217</c:v>
                </c:pt>
                <c:pt idx="14">
                  <c:v>44227</c:v>
                </c:pt>
                <c:pt idx="15">
                  <c:v>44237</c:v>
                </c:pt>
                <c:pt idx="16">
                  <c:v>44247</c:v>
                </c:pt>
                <c:pt idx="17">
                  <c:v>44257</c:v>
                </c:pt>
                <c:pt idx="18">
                  <c:v>44267</c:v>
                </c:pt>
                <c:pt idx="19">
                  <c:v>44277</c:v>
                </c:pt>
                <c:pt idx="20">
                  <c:v>44287</c:v>
                </c:pt>
              </c:numCache>
            </c:numRef>
          </c:xVal>
          <c:yVal>
            <c:numRef>
              <c:f>'PIC data'!$AF$8:$AF$28</c:f>
              <c:numCache>
                <c:formatCode>0.00</c:formatCode>
                <c:ptCount val="21"/>
                <c:pt idx="0">
                  <c:v>61.270451603008603</c:v>
                </c:pt>
                <c:pt idx="1">
                  <c:v>63.30277781717718</c:v>
                </c:pt>
                <c:pt idx="2">
                  <c:v>66.47885331390161</c:v>
                </c:pt>
                <c:pt idx="3">
                  <c:v>61.416402694429195</c:v>
                </c:pt>
                <c:pt idx="4">
                  <c:v>67.995382921414688</c:v>
                </c:pt>
                <c:pt idx="5">
                  <c:v>70.120884254291553</c:v>
                </c:pt>
                <c:pt idx="6">
                  <c:v>68.239375960274074</c:v>
                </c:pt>
                <c:pt idx="7">
                  <c:v>67.34943309880336</c:v>
                </c:pt>
                <c:pt idx="8">
                  <c:v>65.749587841751904</c:v>
                </c:pt>
                <c:pt idx="9">
                  <c:v>63.581083482154568</c:v>
                </c:pt>
                <c:pt idx="10">
                  <c:v>53.821443735457017</c:v>
                </c:pt>
                <c:pt idx="11">
                  <c:v>66.010001037733517</c:v>
                </c:pt>
                <c:pt idx="12">
                  <c:v>57.371166334528922</c:v>
                </c:pt>
                <c:pt idx="13" formatCode="General">
                  <c:v>63.755232943097894</c:v>
                </c:pt>
                <c:pt idx="14" formatCode="General">
                  <c:v>71.363690001210657</c:v>
                </c:pt>
                <c:pt idx="15" formatCode="General">
                  <c:v>63.815883762088824</c:v>
                </c:pt>
                <c:pt idx="17" formatCode="General">
                  <c:v>64.835159973201399</c:v>
                </c:pt>
                <c:pt idx="18" formatCode="General">
                  <c:v>67.795324463626258</c:v>
                </c:pt>
                <c:pt idx="19" formatCode="General">
                  <c:v>62.394346906582868</c:v>
                </c:pt>
                <c:pt idx="20" formatCode="General">
                  <c:v>59.123709937460902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B9-4B2B-BEB1-E0E0DEEAF402}"/>
            </c:ext>
          </c:extLst>
        </c:ser>
        <c:ser>
          <c:idx val="1"/>
          <c:order val="1"/>
          <c:tx>
            <c:v>47_2000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main!$V$31:$V$51</c:f>
              <c:numCache>
                <c:formatCode>m/d/yyyy</c:formatCode>
                <c:ptCount val="21"/>
                <c:pt idx="0">
                  <c:v>44087</c:v>
                </c:pt>
                <c:pt idx="1">
                  <c:v>44097</c:v>
                </c:pt>
                <c:pt idx="2">
                  <c:v>44107</c:v>
                </c:pt>
                <c:pt idx="3">
                  <c:v>44117</c:v>
                </c:pt>
                <c:pt idx="4">
                  <c:v>44127</c:v>
                </c:pt>
                <c:pt idx="5">
                  <c:v>44137</c:v>
                </c:pt>
                <c:pt idx="6">
                  <c:v>44147</c:v>
                </c:pt>
                <c:pt idx="7">
                  <c:v>44157</c:v>
                </c:pt>
                <c:pt idx="8">
                  <c:v>44167</c:v>
                </c:pt>
                <c:pt idx="9">
                  <c:v>44177</c:v>
                </c:pt>
                <c:pt idx="10">
                  <c:v>44187</c:v>
                </c:pt>
                <c:pt idx="11">
                  <c:v>44197</c:v>
                </c:pt>
                <c:pt idx="12">
                  <c:v>44207</c:v>
                </c:pt>
                <c:pt idx="13">
                  <c:v>44217</c:v>
                </c:pt>
                <c:pt idx="14">
                  <c:v>44227</c:v>
                </c:pt>
                <c:pt idx="15">
                  <c:v>44237</c:v>
                </c:pt>
                <c:pt idx="16">
                  <c:v>44247</c:v>
                </c:pt>
                <c:pt idx="17">
                  <c:v>44257</c:v>
                </c:pt>
                <c:pt idx="18">
                  <c:v>44267</c:v>
                </c:pt>
                <c:pt idx="19">
                  <c:v>44277</c:v>
                </c:pt>
                <c:pt idx="20">
                  <c:v>44287</c:v>
                </c:pt>
              </c:numCache>
            </c:numRef>
          </c:xVal>
          <c:yVal>
            <c:numRef>
              <c:f>'PIC data'!$AF$29:$AF$49</c:f>
              <c:numCache>
                <c:formatCode>General</c:formatCode>
                <c:ptCount val="21"/>
                <c:pt idx="0">
                  <c:v>65.958253173509334</c:v>
                </c:pt>
                <c:pt idx="1">
                  <c:v>62.901702023041452</c:v>
                </c:pt>
                <c:pt idx="2">
                  <c:v>64.882237259486274</c:v>
                </c:pt>
                <c:pt idx="3">
                  <c:v>67.813767177616327</c:v>
                </c:pt>
                <c:pt idx="4">
                  <c:v>68.788851256892656</c:v>
                </c:pt>
                <c:pt idx="5">
                  <c:v>71.438535910152382</c:v>
                </c:pt>
                <c:pt idx="6">
                  <c:v>71.687960823937473</c:v>
                </c:pt>
                <c:pt idx="7">
                  <c:v>69.964595670957223</c:v>
                </c:pt>
                <c:pt idx="8">
                  <c:v>68.095542501617928</c:v>
                </c:pt>
                <c:pt idx="9">
                  <c:v>65.52664917410354</c:v>
                </c:pt>
                <c:pt idx="10">
                  <c:v>53.2275104760839</c:v>
                </c:pt>
                <c:pt idx="11">
                  <c:v>61.949250762155472</c:v>
                </c:pt>
                <c:pt idx="12">
                  <c:v>58.118808149668325</c:v>
                </c:pt>
                <c:pt idx="13">
                  <c:v>63.718579220613371</c:v>
                </c:pt>
                <c:pt idx="14">
                  <c:v>72.744007092626234</c:v>
                </c:pt>
                <c:pt idx="15">
                  <c:v>72.531268687530698</c:v>
                </c:pt>
                <c:pt idx="16">
                  <c:v>71.054357565516824</c:v>
                </c:pt>
                <c:pt idx="17">
                  <c:v>73.102295555709006</c:v>
                </c:pt>
                <c:pt idx="18">
                  <c:v>70.798797854877336</c:v>
                </c:pt>
                <c:pt idx="19">
                  <c:v>63.780126009952184</c:v>
                </c:pt>
                <c:pt idx="20">
                  <c:v>61.105419875883626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B9-4B2B-BEB1-E0E0DEEAF402}"/>
            </c:ext>
          </c:extLst>
        </c:ser>
        <c:ser>
          <c:idx val="3"/>
          <c:order val="2"/>
          <c:tx>
            <c:v>47_3800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8064A2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main!$V$55:$V$75</c:f>
              <c:numCache>
                <c:formatCode>m/d/yyyy</c:formatCode>
                <c:ptCount val="21"/>
                <c:pt idx="0">
                  <c:v>44087</c:v>
                </c:pt>
                <c:pt idx="1">
                  <c:v>44097</c:v>
                </c:pt>
                <c:pt idx="2">
                  <c:v>44107</c:v>
                </c:pt>
                <c:pt idx="3">
                  <c:v>44117</c:v>
                </c:pt>
                <c:pt idx="4">
                  <c:v>44127</c:v>
                </c:pt>
                <c:pt idx="5">
                  <c:v>44137</c:v>
                </c:pt>
                <c:pt idx="6">
                  <c:v>44147</c:v>
                </c:pt>
                <c:pt idx="7">
                  <c:v>44157</c:v>
                </c:pt>
                <c:pt idx="8">
                  <c:v>44167</c:v>
                </c:pt>
                <c:pt idx="9">
                  <c:v>44177</c:v>
                </c:pt>
                <c:pt idx="10">
                  <c:v>44187</c:v>
                </c:pt>
                <c:pt idx="11">
                  <c:v>44197</c:v>
                </c:pt>
                <c:pt idx="12">
                  <c:v>44207</c:v>
                </c:pt>
                <c:pt idx="13">
                  <c:v>44217</c:v>
                </c:pt>
                <c:pt idx="14">
                  <c:v>44227</c:v>
                </c:pt>
                <c:pt idx="15">
                  <c:v>44237</c:v>
                </c:pt>
                <c:pt idx="16">
                  <c:v>44247</c:v>
                </c:pt>
                <c:pt idx="17">
                  <c:v>44257</c:v>
                </c:pt>
                <c:pt idx="18">
                  <c:v>44267</c:v>
                </c:pt>
                <c:pt idx="19">
                  <c:v>44277</c:v>
                </c:pt>
                <c:pt idx="20">
                  <c:v>44287</c:v>
                </c:pt>
              </c:numCache>
            </c:numRef>
          </c:xVal>
          <c:yVal>
            <c:numRef>
              <c:f>'PIC data'!$AF$50:$AF$70</c:f>
              <c:numCache>
                <c:formatCode>General</c:formatCode>
                <c:ptCount val="21"/>
                <c:pt idx="0">
                  <c:v>68.576369776126299</c:v>
                </c:pt>
                <c:pt idx="1">
                  <c:v>68.21062326798419</c:v>
                </c:pt>
                <c:pt idx="2">
                  <c:v>70.547549325549454</c:v>
                </c:pt>
                <c:pt idx="3">
                  <c:v>72.342737446932716</c:v>
                </c:pt>
                <c:pt idx="4">
                  <c:v>70.491654966838951</c:v>
                </c:pt>
                <c:pt idx="5">
                  <c:v>72.974725773626474</c:v>
                </c:pt>
                <c:pt idx="6">
                  <c:v>73.018822464509</c:v>
                </c:pt>
                <c:pt idx="7">
                  <c:v>72.701089482281674</c:v>
                </c:pt>
                <c:pt idx="8">
                  <c:v>72.457462317211593</c:v>
                </c:pt>
                <c:pt idx="9">
                  <c:v>73.506477766342272</c:v>
                </c:pt>
                <c:pt idx="10">
                  <c:v>67.28810833802774</c:v>
                </c:pt>
                <c:pt idx="11">
                  <c:v>61.132867810435712</c:v>
                </c:pt>
                <c:pt idx="12">
                  <c:v>66.175924978466284</c:v>
                </c:pt>
                <c:pt idx="13">
                  <c:v>65.744699445071774</c:v>
                </c:pt>
                <c:pt idx="14">
                  <c:v>67.498158357656479</c:v>
                </c:pt>
                <c:pt idx="15">
                  <c:v>74.282609667105106</c:v>
                </c:pt>
                <c:pt idx="16">
                  <c:v>74.195753070112701</c:v>
                </c:pt>
                <c:pt idx="17">
                  <c:v>73.834164289511506</c:v>
                </c:pt>
                <c:pt idx="18">
                  <c:v>73.945311417968867</c:v>
                </c:pt>
                <c:pt idx="19">
                  <c:v>73.627847786821675</c:v>
                </c:pt>
                <c:pt idx="20">
                  <c:v>73.78008246769933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B9-4B2B-BEB1-E0E0DEEAF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142344"/>
        <c:axId val="-2091133512"/>
      </c:scatterChart>
      <c:valAx>
        <c:axId val="-2091142344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Midpoint time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1133512"/>
        <c:crosses val="autoZero"/>
        <c:crossBetween val="midCat"/>
      </c:valAx>
      <c:valAx>
        <c:axId val="-2091133512"/>
        <c:scaling>
          <c:orientation val="minMax"/>
          <c:min val="45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%CaCO3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114234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094136813020065"/>
          <c:y val="0.54778677140881904"/>
          <c:w val="8.4618613342703361E-2"/>
          <c:h val="0.18881167826049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AU"/>
              <a:t>SAZ22 %POC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47_1000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main!$V$7:$V$27</c:f>
              <c:numCache>
                <c:formatCode>m/d/yyyy</c:formatCode>
                <c:ptCount val="21"/>
                <c:pt idx="0">
                  <c:v>44087</c:v>
                </c:pt>
                <c:pt idx="1">
                  <c:v>44097</c:v>
                </c:pt>
                <c:pt idx="2">
                  <c:v>44107</c:v>
                </c:pt>
                <c:pt idx="3">
                  <c:v>44117</c:v>
                </c:pt>
                <c:pt idx="4">
                  <c:v>44127</c:v>
                </c:pt>
                <c:pt idx="5">
                  <c:v>44137</c:v>
                </c:pt>
                <c:pt idx="6">
                  <c:v>44147</c:v>
                </c:pt>
                <c:pt idx="7">
                  <c:v>44157</c:v>
                </c:pt>
                <c:pt idx="8">
                  <c:v>44167</c:v>
                </c:pt>
                <c:pt idx="9">
                  <c:v>44177</c:v>
                </c:pt>
                <c:pt idx="10">
                  <c:v>44187</c:v>
                </c:pt>
                <c:pt idx="11">
                  <c:v>44197</c:v>
                </c:pt>
                <c:pt idx="12">
                  <c:v>44207</c:v>
                </c:pt>
                <c:pt idx="13">
                  <c:v>44217</c:v>
                </c:pt>
                <c:pt idx="14">
                  <c:v>44227</c:v>
                </c:pt>
                <c:pt idx="15">
                  <c:v>44237</c:v>
                </c:pt>
                <c:pt idx="16">
                  <c:v>44247</c:v>
                </c:pt>
                <c:pt idx="17">
                  <c:v>44257</c:v>
                </c:pt>
                <c:pt idx="18">
                  <c:v>44267</c:v>
                </c:pt>
                <c:pt idx="19">
                  <c:v>44277</c:v>
                </c:pt>
                <c:pt idx="20">
                  <c:v>44287</c:v>
                </c:pt>
              </c:numCache>
            </c:numRef>
          </c:xVal>
          <c:yVal>
            <c:numRef>
              <c:f>main!$AH$7:$AH$27</c:f>
              <c:numCache>
                <c:formatCode>0.00</c:formatCode>
                <c:ptCount val="21"/>
                <c:pt idx="0">
                  <c:v>8.6756551075243351</c:v>
                </c:pt>
                <c:pt idx="1">
                  <c:v>6.8376035918369782</c:v>
                </c:pt>
                <c:pt idx="2">
                  <c:v>6.7303700262620332</c:v>
                </c:pt>
                <c:pt idx="3">
                  <c:v>10.076375472142129</c:v>
                </c:pt>
                <c:pt idx="4">
                  <c:v>6.6083943317626375</c:v>
                </c:pt>
                <c:pt idx="5">
                  <c:v>6.0499842293873165</c:v>
                </c:pt>
                <c:pt idx="6">
                  <c:v>6.9572776408419053</c:v>
                </c:pt>
                <c:pt idx="7">
                  <c:v>6.2760268174372396</c:v>
                </c:pt>
                <c:pt idx="8">
                  <c:v>7.7690582687683252</c:v>
                </c:pt>
                <c:pt idx="9">
                  <c:v>8.5859902524222846</c:v>
                </c:pt>
                <c:pt idx="10">
                  <c:v>12.43450015397894</c:v>
                </c:pt>
                <c:pt idx="11">
                  <c:v>7.0166050411608616</c:v>
                </c:pt>
                <c:pt idx="12">
                  <c:v>8.0739611430742482</c:v>
                </c:pt>
                <c:pt idx="13">
                  <c:v>7.3999576782156646</c:v>
                </c:pt>
                <c:pt idx="14">
                  <c:v>6.1207906557083263</c:v>
                </c:pt>
                <c:pt idx="15">
                  <c:v>9.2161690284448241</c:v>
                </c:pt>
                <c:pt idx="16">
                  <c:v>0</c:v>
                </c:pt>
                <c:pt idx="17">
                  <c:v>9.4155460328413998</c:v>
                </c:pt>
                <c:pt idx="18">
                  <c:v>8.0082874083047439</c:v>
                </c:pt>
                <c:pt idx="19">
                  <c:v>8.7787590146664112</c:v>
                </c:pt>
                <c:pt idx="20">
                  <c:v>11.608183592474351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79-47B9-B51E-CAEECC8BAD48}"/>
            </c:ext>
          </c:extLst>
        </c:ser>
        <c:ser>
          <c:idx val="1"/>
          <c:order val="1"/>
          <c:tx>
            <c:v>47_2000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main!$V$31:$V$51</c:f>
              <c:numCache>
                <c:formatCode>m/d/yyyy</c:formatCode>
                <c:ptCount val="21"/>
                <c:pt idx="0">
                  <c:v>44087</c:v>
                </c:pt>
                <c:pt idx="1">
                  <c:v>44097</c:v>
                </c:pt>
                <c:pt idx="2">
                  <c:v>44107</c:v>
                </c:pt>
                <c:pt idx="3">
                  <c:v>44117</c:v>
                </c:pt>
                <c:pt idx="4">
                  <c:v>44127</c:v>
                </c:pt>
                <c:pt idx="5">
                  <c:v>44137</c:v>
                </c:pt>
                <c:pt idx="6">
                  <c:v>44147</c:v>
                </c:pt>
                <c:pt idx="7">
                  <c:v>44157</c:v>
                </c:pt>
                <c:pt idx="8">
                  <c:v>44167</c:v>
                </c:pt>
                <c:pt idx="9">
                  <c:v>44177</c:v>
                </c:pt>
                <c:pt idx="10">
                  <c:v>44187</c:v>
                </c:pt>
                <c:pt idx="11">
                  <c:v>44197</c:v>
                </c:pt>
                <c:pt idx="12">
                  <c:v>44207</c:v>
                </c:pt>
                <c:pt idx="13">
                  <c:v>44217</c:v>
                </c:pt>
                <c:pt idx="14">
                  <c:v>44227</c:v>
                </c:pt>
                <c:pt idx="15">
                  <c:v>44237</c:v>
                </c:pt>
                <c:pt idx="16">
                  <c:v>44247</c:v>
                </c:pt>
                <c:pt idx="17">
                  <c:v>44257</c:v>
                </c:pt>
                <c:pt idx="18">
                  <c:v>44267</c:v>
                </c:pt>
                <c:pt idx="19">
                  <c:v>44277</c:v>
                </c:pt>
                <c:pt idx="20">
                  <c:v>44287</c:v>
                </c:pt>
              </c:numCache>
            </c:numRef>
          </c:xVal>
          <c:yVal>
            <c:numRef>
              <c:f>main!$AH$31:$AH$51</c:f>
              <c:numCache>
                <c:formatCode>0.00</c:formatCode>
                <c:ptCount val="21"/>
                <c:pt idx="0">
                  <c:v>5.951170734233501</c:v>
                </c:pt>
                <c:pt idx="1">
                  <c:v>7.282073726383314</c:v>
                </c:pt>
                <c:pt idx="2">
                  <c:v>6.9578496117805964</c:v>
                </c:pt>
                <c:pt idx="3">
                  <c:v>6.24825804679495</c:v>
                </c:pt>
                <c:pt idx="4">
                  <c:v>5.7455452254678576</c:v>
                </c:pt>
                <c:pt idx="5">
                  <c:v>4.8862144692916694</c:v>
                </c:pt>
                <c:pt idx="6">
                  <c:v>5.2079586261442241</c:v>
                </c:pt>
                <c:pt idx="7">
                  <c:v>5.4305717634407777</c:v>
                </c:pt>
                <c:pt idx="8">
                  <c:v>5.4262362977049108</c:v>
                </c:pt>
                <c:pt idx="9">
                  <c:v>5.6891252707836735</c:v>
                </c:pt>
                <c:pt idx="10">
                  <c:v>6.9462546058868249</c:v>
                </c:pt>
                <c:pt idx="11">
                  <c:v>6.0382281045118011</c:v>
                </c:pt>
                <c:pt idx="12">
                  <c:v>6.0309544757064968</c:v>
                </c:pt>
                <c:pt idx="13">
                  <c:v>5.4151868473835085</c:v>
                </c:pt>
                <c:pt idx="14">
                  <c:v>4.5461366529655898</c:v>
                </c:pt>
                <c:pt idx="15">
                  <c:v>4.6176085657144235</c:v>
                </c:pt>
                <c:pt idx="16">
                  <c:v>4.8989012944426538</c:v>
                </c:pt>
                <c:pt idx="17">
                  <c:v>5.3039887157180452</c:v>
                </c:pt>
                <c:pt idx="18">
                  <c:v>5.6471014321200954</c:v>
                </c:pt>
                <c:pt idx="19">
                  <c:v>7.7013519871874045</c:v>
                </c:pt>
                <c:pt idx="20">
                  <c:v>8.4883783216666764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79-47B9-B51E-CAEECC8BAD48}"/>
            </c:ext>
          </c:extLst>
        </c:ser>
        <c:ser>
          <c:idx val="3"/>
          <c:order val="2"/>
          <c:tx>
            <c:v>47_3800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  <a:prstDash val="solid"/>
              </a:ln>
            </c:spPr>
          </c:marker>
          <c:xVal>
            <c:numRef>
              <c:f>main!$V$55:$V$75</c:f>
              <c:numCache>
                <c:formatCode>m/d/yyyy</c:formatCode>
                <c:ptCount val="21"/>
                <c:pt idx="0">
                  <c:v>44087</c:v>
                </c:pt>
                <c:pt idx="1">
                  <c:v>44097</c:v>
                </c:pt>
                <c:pt idx="2">
                  <c:v>44107</c:v>
                </c:pt>
                <c:pt idx="3">
                  <c:v>44117</c:v>
                </c:pt>
                <c:pt idx="4">
                  <c:v>44127</c:v>
                </c:pt>
                <c:pt idx="5">
                  <c:v>44137</c:v>
                </c:pt>
                <c:pt idx="6">
                  <c:v>44147</c:v>
                </c:pt>
                <c:pt idx="7">
                  <c:v>44157</c:v>
                </c:pt>
                <c:pt idx="8">
                  <c:v>44167</c:v>
                </c:pt>
                <c:pt idx="9">
                  <c:v>44177</c:v>
                </c:pt>
                <c:pt idx="10">
                  <c:v>44187</c:v>
                </c:pt>
                <c:pt idx="11">
                  <c:v>44197</c:v>
                </c:pt>
                <c:pt idx="12">
                  <c:v>44207</c:v>
                </c:pt>
                <c:pt idx="13">
                  <c:v>44217</c:v>
                </c:pt>
                <c:pt idx="14">
                  <c:v>44227</c:v>
                </c:pt>
                <c:pt idx="15">
                  <c:v>44237</c:v>
                </c:pt>
                <c:pt idx="16">
                  <c:v>44247</c:v>
                </c:pt>
                <c:pt idx="17">
                  <c:v>44257</c:v>
                </c:pt>
                <c:pt idx="18">
                  <c:v>44267</c:v>
                </c:pt>
                <c:pt idx="19">
                  <c:v>44277</c:v>
                </c:pt>
                <c:pt idx="20">
                  <c:v>44287</c:v>
                </c:pt>
              </c:numCache>
            </c:numRef>
          </c:xVal>
          <c:yVal>
            <c:numRef>
              <c:f>main!$AH$55:$AH$75</c:f>
              <c:numCache>
                <c:formatCode>0.00</c:formatCode>
                <c:ptCount val="21"/>
                <c:pt idx="0">
                  <c:v>4.6709291794896188</c:v>
                </c:pt>
                <c:pt idx="1">
                  <c:v>4.9836932721753939</c:v>
                </c:pt>
                <c:pt idx="2">
                  <c:v>4.2629750118568399</c:v>
                </c:pt>
                <c:pt idx="3">
                  <c:v>4.3265947285879136</c:v>
                </c:pt>
                <c:pt idx="4">
                  <c:v>4.9146405919757026</c:v>
                </c:pt>
                <c:pt idx="5">
                  <c:v>4.5588852815311363</c:v>
                </c:pt>
                <c:pt idx="6">
                  <c:v>4.5653850964432507</c:v>
                </c:pt>
                <c:pt idx="7">
                  <c:v>4.6562451169197736</c:v>
                </c:pt>
                <c:pt idx="8">
                  <c:v>4.5396968642061317</c:v>
                </c:pt>
                <c:pt idx="9">
                  <c:v>4.1727525635201133</c:v>
                </c:pt>
                <c:pt idx="10">
                  <c:v>5.3983719461659589</c:v>
                </c:pt>
                <c:pt idx="11">
                  <c:v>5.8484460455381644</c:v>
                </c:pt>
                <c:pt idx="12">
                  <c:v>4.7519238740876624</c:v>
                </c:pt>
                <c:pt idx="13">
                  <c:v>5.0101786842011204</c:v>
                </c:pt>
                <c:pt idx="14">
                  <c:v>4.2111690469390499</c:v>
                </c:pt>
                <c:pt idx="15">
                  <c:v>3.4105545789250655</c:v>
                </c:pt>
                <c:pt idx="16">
                  <c:v>3.6930059221753542</c:v>
                </c:pt>
                <c:pt idx="17">
                  <c:v>4.0624934716688497</c:v>
                </c:pt>
                <c:pt idx="18">
                  <c:v>3.5908127856912682</c:v>
                </c:pt>
                <c:pt idx="19">
                  <c:v>3.9063986333833558</c:v>
                </c:pt>
                <c:pt idx="20">
                  <c:v>4.2682828713339802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79-47B9-B51E-CAEECC8BA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142344"/>
        <c:axId val="-2091133512"/>
      </c:scatterChart>
      <c:valAx>
        <c:axId val="-2091142344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Midpoint time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1133512"/>
        <c:crosses val="autoZero"/>
        <c:crossBetween val="midCat"/>
      </c:valAx>
      <c:valAx>
        <c:axId val="-209113351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%POC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114234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094136813020065"/>
          <c:y val="0.54778677140881904"/>
          <c:w val="8.4618613342703361E-2"/>
          <c:h val="0.18881167826049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AU"/>
              <a:t>SAZ22 POC/PN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47_1000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main!$V$7:$V$27</c:f>
              <c:numCache>
                <c:formatCode>m/d/yyyy</c:formatCode>
                <c:ptCount val="21"/>
                <c:pt idx="0">
                  <c:v>44087</c:v>
                </c:pt>
                <c:pt idx="1">
                  <c:v>44097</c:v>
                </c:pt>
                <c:pt idx="2">
                  <c:v>44107</c:v>
                </c:pt>
                <c:pt idx="3">
                  <c:v>44117</c:v>
                </c:pt>
                <c:pt idx="4">
                  <c:v>44127</c:v>
                </c:pt>
                <c:pt idx="5">
                  <c:v>44137</c:v>
                </c:pt>
                <c:pt idx="6">
                  <c:v>44147</c:v>
                </c:pt>
                <c:pt idx="7">
                  <c:v>44157</c:v>
                </c:pt>
                <c:pt idx="8">
                  <c:v>44167</c:v>
                </c:pt>
                <c:pt idx="9">
                  <c:v>44177</c:v>
                </c:pt>
                <c:pt idx="10">
                  <c:v>44187</c:v>
                </c:pt>
                <c:pt idx="11">
                  <c:v>44197</c:v>
                </c:pt>
                <c:pt idx="12">
                  <c:v>44207</c:v>
                </c:pt>
                <c:pt idx="13">
                  <c:v>44217</c:v>
                </c:pt>
                <c:pt idx="14">
                  <c:v>44227</c:v>
                </c:pt>
                <c:pt idx="15">
                  <c:v>44237</c:v>
                </c:pt>
                <c:pt idx="16">
                  <c:v>44247</c:v>
                </c:pt>
                <c:pt idx="17">
                  <c:v>44257</c:v>
                </c:pt>
                <c:pt idx="18">
                  <c:v>44267</c:v>
                </c:pt>
                <c:pt idx="19">
                  <c:v>44277</c:v>
                </c:pt>
                <c:pt idx="20">
                  <c:v>44287</c:v>
                </c:pt>
              </c:numCache>
            </c:numRef>
          </c:xVal>
          <c:yVal>
            <c:numRef>
              <c:f>main!$AK$7:$AK$27</c:f>
              <c:numCache>
                <c:formatCode>0.00</c:formatCode>
                <c:ptCount val="21"/>
                <c:pt idx="0">
                  <c:v>7.3230518287649033</c:v>
                </c:pt>
                <c:pt idx="1">
                  <c:v>7.3760080202107998</c:v>
                </c:pt>
                <c:pt idx="2">
                  <c:v>7.6503303915625702</c:v>
                </c:pt>
                <c:pt idx="3">
                  <c:v>7.8098793904151975</c:v>
                </c:pt>
                <c:pt idx="4">
                  <c:v>8.1617892217861243</c:v>
                </c:pt>
                <c:pt idx="5">
                  <c:v>7.982565575177321</c:v>
                </c:pt>
                <c:pt idx="6">
                  <c:v>8.0428262702026565</c:v>
                </c:pt>
                <c:pt idx="7">
                  <c:v>7.8936594809485241</c:v>
                </c:pt>
                <c:pt idx="8">
                  <c:v>7.7931030274307229</c:v>
                </c:pt>
                <c:pt idx="9">
                  <c:v>7.5727078962378966</c:v>
                </c:pt>
                <c:pt idx="10">
                  <c:v>5.7983105060969891</c:v>
                </c:pt>
                <c:pt idx="11">
                  <c:v>7.8347367447335854</c:v>
                </c:pt>
                <c:pt idx="12">
                  <c:v>7.3175945129487054</c:v>
                </c:pt>
                <c:pt idx="13">
                  <c:v>7.6258014756669876</c:v>
                </c:pt>
                <c:pt idx="14">
                  <c:v>6.9016457734102676</c:v>
                </c:pt>
                <c:pt idx="15">
                  <c:v>5.1494068461805602</c:v>
                </c:pt>
                <c:pt idx="16">
                  <c:v>0</c:v>
                </c:pt>
                <c:pt idx="17">
                  <c:v>6.9593955145042239</c:v>
                </c:pt>
                <c:pt idx="18">
                  <c:v>7.1388678686860194</c:v>
                </c:pt>
                <c:pt idx="19">
                  <c:v>7.2705887420001192</c:v>
                </c:pt>
                <c:pt idx="20">
                  <c:v>7.0879679661349675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08-43BB-B35E-DD628560876C}"/>
            </c:ext>
          </c:extLst>
        </c:ser>
        <c:ser>
          <c:idx val="1"/>
          <c:order val="1"/>
          <c:tx>
            <c:v>47_2000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main!$V$31:$V$51</c:f>
              <c:numCache>
                <c:formatCode>m/d/yyyy</c:formatCode>
                <c:ptCount val="21"/>
                <c:pt idx="0">
                  <c:v>44087</c:v>
                </c:pt>
                <c:pt idx="1">
                  <c:v>44097</c:v>
                </c:pt>
                <c:pt idx="2">
                  <c:v>44107</c:v>
                </c:pt>
                <c:pt idx="3">
                  <c:v>44117</c:v>
                </c:pt>
                <c:pt idx="4">
                  <c:v>44127</c:v>
                </c:pt>
                <c:pt idx="5">
                  <c:v>44137</c:v>
                </c:pt>
                <c:pt idx="6">
                  <c:v>44147</c:v>
                </c:pt>
                <c:pt idx="7">
                  <c:v>44157</c:v>
                </c:pt>
                <c:pt idx="8">
                  <c:v>44167</c:v>
                </c:pt>
                <c:pt idx="9">
                  <c:v>44177</c:v>
                </c:pt>
                <c:pt idx="10">
                  <c:v>44187</c:v>
                </c:pt>
                <c:pt idx="11">
                  <c:v>44197</c:v>
                </c:pt>
                <c:pt idx="12">
                  <c:v>44207</c:v>
                </c:pt>
                <c:pt idx="13">
                  <c:v>44217</c:v>
                </c:pt>
                <c:pt idx="14">
                  <c:v>44227</c:v>
                </c:pt>
                <c:pt idx="15">
                  <c:v>44237</c:v>
                </c:pt>
                <c:pt idx="16">
                  <c:v>44247</c:v>
                </c:pt>
                <c:pt idx="17">
                  <c:v>44257</c:v>
                </c:pt>
                <c:pt idx="18">
                  <c:v>44267</c:v>
                </c:pt>
                <c:pt idx="19">
                  <c:v>44277</c:v>
                </c:pt>
                <c:pt idx="20">
                  <c:v>44287</c:v>
                </c:pt>
              </c:numCache>
            </c:numRef>
          </c:xVal>
          <c:yVal>
            <c:numRef>
              <c:f>main!$AK$31:$AK$51</c:f>
              <c:numCache>
                <c:formatCode>0.00</c:formatCode>
                <c:ptCount val="21"/>
                <c:pt idx="0">
                  <c:v>7.3614223527936691</c:v>
                </c:pt>
                <c:pt idx="1">
                  <c:v>8.2702950138146321</c:v>
                </c:pt>
                <c:pt idx="2">
                  <c:v>7.3545414866832397</c:v>
                </c:pt>
                <c:pt idx="3">
                  <c:v>7.4782091074059611</c:v>
                </c:pt>
                <c:pt idx="4">
                  <c:v>8.1968882532340785</c:v>
                </c:pt>
                <c:pt idx="5">
                  <c:v>8.0767993662970667</c:v>
                </c:pt>
                <c:pt idx="6">
                  <c:v>8.2149518239103827</c:v>
                </c:pt>
                <c:pt idx="7">
                  <c:v>8.3521460523396112</c:v>
                </c:pt>
                <c:pt idx="8">
                  <c:v>8.4720691453032995</c:v>
                </c:pt>
                <c:pt idx="9">
                  <c:v>7.7990191677375558</c:v>
                </c:pt>
                <c:pt idx="10">
                  <c:v>8.6007266272004959</c:v>
                </c:pt>
                <c:pt idx="11">
                  <c:v>8.5127271487175999</c:v>
                </c:pt>
                <c:pt idx="12">
                  <c:v>8.0227702291848875</c:v>
                </c:pt>
                <c:pt idx="13">
                  <c:v>8.1925340907758049</c:v>
                </c:pt>
                <c:pt idx="14">
                  <c:v>7.6724187909987256</c:v>
                </c:pt>
                <c:pt idx="15">
                  <c:v>7.5625735654913839</c:v>
                </c:pt>
                <c:pt idx="17">
                  <c:v>8.2296881931905688</c:v>
                </c:pt>
                <c:pt idx="18">
                  <c:v>8.6653239149288463</c:v>
                </c:pt>
                <c:pt idx="19">
                  <c:v>8.1941128847101741</c:v>
                </c:pt>
                <c:pt idx="20">
                  <c:v>8.168485543968643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08-43BB-B35E-DD628560876C}"/>
            </c:ext>
          </c:extLst>
        </c:ser>
        <c:ser>
          <c:idx val="3"/>
          <c:order val="2"/>
          <c:tx>
            <c:v>47_3800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  <a:prstDash val="solid"/>
              </a:ln>
            </c:spPr>
          </c:marker>
          <c:xVal>
            <c:numRef>
              <c:f>main!$V$55:$V$75</c:f>
              <c:numCache>
                <c:formatCode>m/d/yyyy</c:formatCode>
                <c:ptCount val="21"/>
                <c:pt idx="0">
                  <c:v>44087</c:v>
                </c:pt>
                <c:pt idx="1">
                  <c:v>44097</c:v>
                </c:pt>
                <c:pt idx="2">
                  <c:v>44107</c:v>
                </c:pt>
                <c:pt idx="3">
                  <c:v>44117</c:v>
                </c:pt>
                <c:pt idx="4">
                  <c:v>44127</c:v>
                </c:pt>
                <c:pt idx="5">
                  <c:v>44137</c:v>
                </c:pt>
                <c:pt idx="6">
                  <c:v>44147</c:v>
                </c:pt>
                <c:pt idx="7">
                  <c:v>44157</c:v>
                </c:pt>
                <c:pt idx="8">
                  <c:v>44167</c:v>
                </c:pt>
                <c:pt idx="9">
                  <c:v>44177</c:v>
                </c:pt>
                <c:pt idx="10">
                  <c:v>44187</c:v>
                </c:pt>
                <c:pt idx="11">
                  <c:v>44197</c:v>
                </c:pt>
                <c:pt idx="12">
                  <c:v>44207</c:v>
                </c:pt>
                <c:pt idx="13">
                  <c:v>44217</c:v>
                </c:pt>
                <c:pt idx="14">
                  <c:v>44227</c:v>
                </c:pt>
                <c:pt idx="15">
                  <c:v>44237</c:v>
                </c:pt>
                <c:pt idx="16">
                  <c:v>44247</c:v>
                </c:pt>
                <c:pt idx="17">
                  <c:v>44257</c:v>
                </c:pt>
                <c:pt idx="18">
                  <c:v>44267</c:v>
                </c:pt>
                <c:pt idx="19">
                  <c:v>44277</c:v>
                </c:pt>
                <c:pt idx="20">
                  <c:v>44287</c:v>
                </c:pt>
              </c:numCache>
            </c:numRef>
          </c:xVal>
          <c:yVal>
            <c:numRef>
              <c:f>main!$AK$55:$AK$75</c:f>
              <c:numCache>
                <c:formatCode>0.00</c:formatCode>
                <c:ptCount val="21"/>
                <c:pt idx="0">
                  <c:v>9.2311615499249893</c:v>
                </c:pt>
                <c:pt idx="1">
                  <c:v>8.1490668693933657</c:v>
                </c:pt>
                <c:pt idx="2">
                  <c:v>8.5506290050107552</c:v>
                </c:pt>
                <c:pt idx="3">
                  <c:v>8.5370245353378724</c:v>
                </c:pt>
                <c:pt idx="4">
                  <c:v>8.906186763368634</c:v>
                </c:pt>
                <c:pt idx="5">
                  <c:v>8.487515267151684</c:v>
                </c:pt>
                <c:pt idx="6">
                  <c:v>8.850606639150616</c:v>
                </c:pt>
                <c:pt idx="7">
                  <c:v>9.1207354459880801</c:v>
                </c:pt>
                <c:pt idx="8">
                  <c:v>8.7317555683607999</c:v>
                </c:pt>
                <c:pt idx="9">
                  <c:v>8.5523245754948434</c:v>
                </c:pt>
                <c:pt idx="10">
                  <c:v>8.4399619123528744</c:v>
                </c:pt>
                <c:pt idx="11">
                  <c:v>8.9171722628308157</c:v>
                </c:pt>
                <c:pt idx="12">
                  <c:v>8.4931949563123119</c:v>
                </c:pt>
                <c:pt idx="13">
                  <c:v>8.2836753320984684</c:v>
                </c:pt>
                <c:pt idx="14">
                  <c:v>8.4304831314701527</c:v>
                </c:pt>
                <c:pt idx="15">
                  <c:v>8.5101288272770219</c:v>
                </c:pt>
                <c:pt idx="16">
                  <c:v>7.9792943392290958</c:v>
                </c:pt>
                <c:pt idx="17">
                  <c:v>8.2285943683676344</c:v>
                </c:pt>
                <c:pt idx="18">
                  <c:v>8.7270020962572552</c:v>
                </c:pt>
                <c:pt idx="19">
                  <c:v>8.1329277186183067</c:v>
                </c:pt>
                <c:pt idx="20">
                  <c:v>8.8581208969817578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08-43BB-B35E-DD6285608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142344"/>
        <c:axId val="-2091133512"/>
      </c:scatterChart>
      <c:valAx>
        <c:axId val="-2091142344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Midpoint time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1133512"/>
        <c:crosses val="autoZero"/>
        <c:crossBetween val="midCat"/>
      </c:valAx>
      <c:valAx>
        <c:axId val="-2091133512"/>
        <c:scaling>
          <c:orientation val="minMax"/>
          <c:min val="4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POC/PN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114234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094136813020065"/>
          <c:y val="0.54778677140881904"/>
          <c:w val="8.4618613342703361E-2"/>
          <c:h val="0.18881167826049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AU"/>
              <a:t>SAZ22 %BSi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47_1000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main!$V$7:$V$27</c:f>
              <c:numCache>
                <c:formatCode>m/d/yyyy</c:formatCode>
                <c:ptCount val="21"/>
                <c:pt idx="0">
                  <c:v>44087</c:v>
                </c:pt>
                <c:pt idx="1">
                  <c:v>44097</c:v>
                </c:pt>
                <c:pt idx="2">
                  <c:v>44107</c:v>
                </c:pt>
                <c:pt idx="3">
                  <c:v>44117</c:v>
                </c:pt>
                <c:pt idx="4">
                  <c:v>44127</c:v>
                </c:pt>
                <c:pt idx="5">
                  <c:v>44137</c:v>
                </c:pt>
                <c:pt idx="6">
                  <c:v>44147</c:v>
                </c:pt>
                <c:pt idx="7">
                  <c:v>44157</c:v>
                </c:pt>
                <c:pt idx="8">
                  <c:v>44167</c:v>
                </c:pt>
                <c:pt idx="9">
                  <c:v>44177</c:v>
                </c:pt>
                <c:pt idx="10">
                  <c:v>44187</c:v>
                </c:pt>
                <c:pt idx="11">
                  <c:v>44197</c:v>
                </c:pt>
                <c:pt idx="12">
                  <c:v>44207</c:v>
                </c:pt>
                <c:pt idx="13">
                  <c:v>44217</c:v>
                </c:pt>
                <c:pt idx="14">
                  <c:v>44227</c:v>
                </c:pt>
                <c:pt idx="15">
                  <c:v>44237</c:v>
                </c:pt>
                <c:pt idx="16">
                  <c:v>44247</c:v>
                </c:pt>
                <c:pt idx="17">
                  <c:v>44257</c:v>
                </c:pt>
                <c:pt idx="18">
                  <c:v>44267</c:v>
                </c:pt>
                <c:pt idx="19">
                  <c:v>44277</c:v>
                </c:pt>
                <c:pt idx="20">
                  <c:v>44287</c:v>
                </c:pt>
              </c:numCache>
            </c:numRef>
          </c:xVal>
          <c:yVal>
            <c:numRef>
              <c:f>main!$AB$7:$AB$27</c:f>
              <c:numCache>
                <c:formatCode>General</c:formatCode>
                <c:ptCount val="21"/>
                <c:pt idx="0">
                  <c:v>4.9218101598604171</c:v>
                </c:pt>
                <c:pt idx="1">
                  <c:v>5.7586530090995698</c:v>
                </c:pt>
                <c:pt idx="2">
                  <c:v>4.2487933475159156</c:v>
                </c:pt>
                <c:pt idx="3">
                  <c:v>3.7113961728881879</c:v>
                </c:pt>
                <c:pt idx="4">
                  <c:v>3.9807685809615134</c:v>
                </c:pt>
                <c:pt idx="5">
                  <c:v>3.5414634203872133</c:v>
                </c:pt>
                <c:pt idx="6">
                  <c:v>3.4740489001330288</c:v>
                </c:pt>
                <c:pt idx="7">
                  <c:v>3.6617362416244483</c:v>
                </c:pt>
                <c:pt idx="8">
                  <c:v>3.5906345053797613</c:v>
                </c:pt>
                <c:pt idx="9">
                  <c:v>3.8982248147823411</c:v>
                </c:pt>
                <c:pt idx="10">
                  <c:v>8.939913538849785</c:v>
                </c:pt>
                <c:pt idx="11">
                  <c:v>4.4432831128703842</c:v>
                </c:pt>
                <c:pt idx="12">
                  <c:v>7.0473298904850807</c:v>
                </c:pt>
                <c:pt idx="13">
                  <c:v>3.5348340234192897</c:v>
                </c:pt>
                <c:pt idx="14">
                  <c:v>1.7803086555360281</c:v>
                </c:pt>
                <c:pt idx="15">
                  <c:v>1.1780830604108081</c:v>
                </c:pt>
                <c:pt idx="16">
                  <c:v>0</c:v>
                </c:pt>
                <c:pt idx="17">
                  <c:v>2.3456241663983803</c:v>
                </c:pt>
                <c:pt idx="18">
                  <c:v>3.1318612688082719</c:v>
                </c:pt>
                <c:pt idx="19">
                  <c:v>4.4693854411706067</c:v>
                </c:pt>
                <c:pt idx="20">
                  <c:v>3.7982866455250184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F9-4A46-BBDC-0C9E60F7A5DA}"/>
            </c:ext>
          </c:extLst>
        </c:ser>
        <c:ser>
          <c:idx val="1"/>
          <c:order val="1"/>
          <c:tx>
            <c:v>47_2000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main!$V$31:$V$51</c:f>
              <c:numCache>
                <c:formatCode>m/d/yyyy</c:formatCode>
                <c:ptCount val="21"/>
                <c:pt idx="0">
                  <c:v>44087</c:v>
                </c:pt>
                <c:pt idx="1">
                  <c:v>44097</c:v>
                </c:pt>
                <c:pt idx="2">
                  <c:v>44107</c:v>
                </c:pt>
                <c:pt idx="3">
                  <c:v>44117</c:v>
                </c:pt>
                <c:pt idx="4">
                  <c:v>44127</c:v>
                </c:pt>
                <c:pt idx="5">
                  <c:v>44137</c:v>
                </c:pt>
                <c:pt idx="6">
                  <c:v>44147</c:v>
                </c:pt>
                <c:pt idx="7">
                  <c:v>44157</c:v>
                </c:pt>
                <c:pt idx="8">
                  <c:v>44167</c:v>
                </c:pt>
                <c:pt idx="9">
                  <c:v>44177</c:v>
                </c:pt>
                <c:pt idx="10">
                  <c:v>44187</c:v>
                </c:pt>
                <c:pt idx="11">
                  <c:v>44197</c:v>
                </c:pt>
                <c:pt idx="12">
                  <c:v>44207</c:v>
                </c:pt>
                <c:pt idx="13">
                  <c:v>44217</c:v>
                </c:pt>
                <c:pt idx="14">
                  <c:v>44227</c:v>
                </c:pt>
                <c:pt idx="15">
                  <c:v>44237</c:v>
                </c:pt>
                <c:pt idx="16">
                  <c:v>44247</c:v>
                </c:pt>
                <c:pt idx="17">
                  <c:v>44257</c:v>
                </c:pt>
                <c:pt idx="18">
                  <c:v>44267</c:v>
                </c:pt>
                <c:pt idx="19">
                  <c:v>44277</c:v>
                </c:pt>
                <c:pt idx="20">
                  <c:v>44287</c:v>
                </c:pt>
              </c:numCache>
            </c:numRef>
          </c:xVal>
          <c:yVal>
            <c:numRef>
              <c:f>main!$AB$31:$AB$51</c:f>
              <c:numCache>
                <c:formatCode>General</c:formatCode>
                <c:ptCount val="21"/>
                <c:pt idx="0">
                  <c:v>5.6127631104161644</c:v>
                </c:pt>
                <c:pt idx="1">
                  <c:v>5.5458758253437059</c:v>
                </c:pt>
                <c:pt idx="2">
                  <c:v>4.9673688050988805</c:v>
                </c:pt>
                <c:pt idx="3">
                  <c:v>4.6966578671178896</c:v>
                </c:pt>
                <c:pt idx="4">
                  <c:v>3.9837007392541857</c:v>
                </c:pt>
                <c:pt idx="5">
                  <c:v>3.8628710930769494</c:v>
                </c:pt>
                <c:pt idx="6">
                  <c:v>3.6777939637434365</c:v>
                </c:pt>
                <c:pt idx="7">
                  <c:v>3.5494691488896661</c:v>
                </c:pt>
                <c:pt idx="8">
                  <c:v>3.9647975997547364</c:v>
                </c:pt>
                <c:pt idx="9">
                  <c:v>6.10953162858093</c:v>
                </c:pt>
                <c:pt idx="10">
                  <c:v>10.82106500146045</c:v>
                </c:pt>
                <c:pt idx="11">
                  <c:v>8.6442440349600247</c:v>
                </c:pt>
                <c:pt idx="12">
                  <c:v>9.6224117676464722</c:v>
                </c:pt>
                <c:pt idx="13">
                  <c:v>7.5553756533870153</c:v>
                </c:pt>
                <c:pt idx="14">
                  <c:v>5.1202767913001876</c:v>
                </c:pt>
                <c:pt idx="15">
                  <c:v>4.6826600418081226</c:v>
                </c:pt>
                <c:pt idx="16">
                  <c:v>4.7950258244882482</c:v>
                </c:pt>
                <c:pt idx="17">
                  <c:v>4.1350644209469749</c:v>
                </c:pt>
                <c:pt idx="18">
                  <c:v>4.5011020746242112</c:v>
                </c:pt>
                <c:pt idx="19">
                  <c:v>5.7352738346144303</c:v>
                </c:pt>
                <c:pt idx="20">
                  <c:v>6.2631477858369919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F9-4A46-BBDC-0C9E60F7A5DA}"/>
            </c:ext>
          </c:extLst>
        </c:ser>
        <c:ser>
          <c:idx val="3"/>
          <c:order val="2"/>
          <c:tx>
            <c:v>47_3800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  <a:prstDash val="solid"/>
              </a:ln>
            </c:spPr>
          </c:marker>
          <c:xVal>
            <c:numRef>
              <c:f>main!$V$55:$V$75</c:f>
              <c:numCache>
                <c:formatCode>m/d/yyyy</c:formatCode>
                <c:ptCount val="21"/>
                <c:pt idx="0">
                  <c:v>44087</c:v>
                </c:pt>
                <c:pt idx="1">
                  <c:v>44097</c:v>
                </c:pt>
                <c:pt idx="2">
                  <c:v>44107</c:v>
                </c:pt>
                <c:pt idx="3">
                  <c:v>44117</c:v>
                </c:pt>
                <c:pt idx="4">
                  <c:v>44127</c:v>
                </c:pt>
                <c:pt idx="5">
                  <c:v>44137</c:v>
                </c:pt>
                <c:pt idx="6">
                  <c:v>44147</c:v>
                </c:pt>
                <c:pt idx="7">
                  <c:v>44157</c:v>
                </c:pt>
                <c:pt idx="8">
                  <c:v>44167</c:v>
                </c:pt>
                <c:pt idx="9">
                  <c:v>44177</c:v>
                </c:pt>
                <c:pt idx="10">
                  <c:v>44187</c:v>
                </c:pt>
                <c:pt idx="11">
                  <c:v>44197</c:v>
                </c:pt>
                <c:pt idx="12">
                  <c:v>44207</c:v>
                </c:pt>
                <c:pt idx="13">
                  <c:v>44217</c:v>
                </c:pt>
                <c:pt idx="14">
                  <c:v>44227</c:v>
                </c:pt>
                <c:pt idx="15">
                  <c:v>44237</c:v>
                </c:pt>
                <c:pt idx="16">
                  <c:v>44247</c:v>
                </c:pt>
                <c:pt idx="17">
                  <c:v>44257</c:v>
                </c:pt>
                <c:pt idx="18">
                  <c:v>44267</c:v>
                </c:pt>
                <c:pt idx="19">
                  <c:v>44277</c:v>
                </c:pt>
                <c:pt idx="20">
                  <c:v>44287</c:v>
                </c:pt>
              </c:numCache>
            </c:numRef>
          </c:xVal>
          <c:yVal>
            <c:numRef>
              <c:f>main!$AB$55:$AB$75</c:f>
              <c:numCache>
                <c:formatCode>General</c:formatCode>
                <c:ptCount val="21"/>
                <c:pt idx="0">
                  <c:v>4.751820907246838</c:v>
                </c:pt>
                <c:pt idx="1">
                  <c:v>5.0364600465203715</c:v>
                </c:pt>
                <c:pt idx="2">
                  <c:v>5.0327405447628504</c:v>
                </c:pt>
                <c:pt idx="3">
                  <c:v>3.9334797827984236</c:v>
                </c:pt>
                <c:pt idx="4">
                  <c:v>4.3524597989431113</c:v>
                </c:pt>
                <c:pt idx="5">
                  <c:v>4.131922952353535</c:v>
                </c:pt>
                <c:pt idx="6">
                  <c:v>3.7052913978229824</c:v>
                </c:pt>
                <c:pt idx="7">
                  <c:v>3.7302373745900064</c:v>
                </c:pt>
                <c:pt idx="8">
                  <c:v>3.7932186349915229</c:v>
                </c:pt>
                <c:pt idx="9">
                  <c:v>3.9164239704910808</c:v>
                </c:pt>
                <c:pt idx="10">
                  <c:v>6.5596598559310619</c:v>
                </c:pt>
                <c:pt idx="11">
                  <c:v>8.4994246108032545</c:v>
                </c:pt>
                <c:pt idx="12">
                  <c:v>7.1012291337416045</c:v>
                </c:pt>
                <c:pt idx="13">
                  <c:v>7.2363021171661863</c:v>
                </c:pt>
                <c:pt idx="14">
                  <c:v>7.403100659887496</c:v>
                </c:pt>
                <c:pt idx="15">
                  <c:v>5.4052096726053804</c:v>
                </c:pt>
                <c:pt idx="16">
                  <c:v>5.0650774797338638</c:v>
                </c:pt>
                <c:pt idx="17">
                  <c:v>4.8718932748538011</c:v>
                </c:pt>
                <c:pt idx="18">
                  <c:v>4.6810468183484746</c:v>
                </c:pt>
                <c:pt idx="19">
                  <c:v>4.7562084125475277</c:v>
                </c:pt>
                <c:pt idx="20">
                  <c:v>3.8195386282289014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F9-4A46-BBDC-0C9E60F7A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142344"/>
        <c:axId val="-2091133512"/>
      </c:scatterChart>
      <c:valAx>
        <c:axId val="-2091142344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Midpoint time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1133512"/>
        <c:crosses val="autoZero"/>
        <c:crossBetween val="midCat"/>
      </c:valAx>
      <c:valAx>
        <c:axId val="-209113351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%BSi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114234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094136813020065"/>
          <c:y val="0.54778677140881904"/>
          <c:w val="8.4618613342703361E-2"/>
          <c:h val="0.18881167826049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('CHN raw data'!$E$31:$E$33,'CHN raw data'!$E$35:$E$41,'CHN raw data'!$E$43:$E$48,'CHN raw data'!$E$50:$E$54,'CHN raw data'!$E$56)</c:f>
              <c:numCache>
                <c:formatCode>0.00</c:formatCode>
                <c:ptCount val="22"/>
                <c:pt idx="0">
                  <c:v>1.3819912672042847</c:v>
                </c:pt>
                <c:pt idx="1">
                  <c:v>1.0813783407211304</c:v>
                </c:pt>
                <c:pt idx="2">
                  <c:v>1.0262516736984253</c:v>
                </c:pt>
                <c:pt idx="3">
                  <c:v>1.5050646066665649</c:v>
                </c:pt>
                <c:pt idx="4">
                  <c:v>0.9445081353187561</c:v>
                </c:pt>
                <c:pt idx="5">
                  <c:v>0.88411116600036621</c:v>
                </c:pt>
                <c:pt idx="6">
                  <c:v>1.0090804100036621</c:v>
                </c:pt>
                <c:pt idx="7">
                  <c:v>0.92747354507446289</c:v>
                </c:pt>
                <c:pt idx="8">
                  <c:v>1.1629287004470825</c:v>
                </c:pt>
                <c:pt idx="9">
                  <c:v>1.3226176500320435</c:v>
                </c:pt>
                <c:pt idx="10">
                  <c:v>2.5308911800384521</c:v>
                </c:pt>
                <c:pt idx="11">
                  <c:v>1.0447148084640503</c:v>
                </c:pt>
                <c:pt idx="12">
                  <c:v>1.2871034145355225</c:v>
                </c:pt>
                <c:pt idx="13">
                  <c:v>1.131980299949646</c:v>
                </c:pt>
                <c:pt idx="14">
                  <c:v>1.0324931144714355</c:v>
                </c:pt>
                <c:pt idx="15">
                  <c:v>1.0365997552871704</c:v>
                </c:pt>
                <c:pt idx="16">
                  <c:v>2.0877974033355713</c:v>
                </c:pt>
                <c:pt idx="17">
                  <c:v>1.5782257318496704</c:v>
                </c:pt>
                <c:pt idx="18">
                  <c:v>1.3085955381393433</c:v>
                </c:pt>
                <c:pt idx="19">
                  <c:v>1.408505916595459</c:v>
                </c:pt>
                <c:pt idx="20">
                  <c:v>1.9104586839675903</c:v>
                </c:pt>
                <c:pt idx="21">
                  <c:v>2.4723563194274902</c:v>
                </c:pt>
              </c:numCache>
            </c:numRef>
          </c:xVal>
          <c:yVal>
            <c:numRef>
              <c:f>('CHN raw data'!$C$31:$C$33,'CHN raw data'!$C$35:$C$41,'CHN raw data'!$C$43:$C$48,'CHN raw data'!$C$50:$C$54,'CHN raw data'!$C$56)</c:f>
              <c:numCache>
                <c:formatCode>0.00</c:formatCode>
                <c:ptCount val="22"/>
                <c:pt idx="0">
                  <c:v>16.027847290039063</c:v>
                </c:pt>
                <c:pt idx="1">
                  <c:v>14.433666229248047</c:v>
                </c:pt>
                <c:pt idx="2">
                  <c:v>14.707548141479492</c:v>
                </c:pt>
                <c:pt idx="3">
                  <c:v>17.446081161499023</c:v>
                </c:pt>
                <c:pt idx="4">
                  <c:v>14.767549514770508</c:v>
                </c:pt>
                <c:pt idx="5">
                  <c:v>14.464190483093262</c:v>
                </c:pt>
                <c:pt idx="6">
                  <c:v>15.145710945129395</c:v>
                </c:pt>
                <c:pt idx="7">
                  <c:v>14.357670783996582</c:v>
                </c:pt>
                <c:pt idx="8">
                  <c:v>15.658727645874023</c:v>
                </c:pt>
                <c:pt idx="9">
                  <c:v>16.215448379516602</c:v>
                </c:pt>
                <c:pt idx="10">
                  <c:v>18.945598602294922</c:v>
                </c:pt>
                <c:pt idx="11">
                  <c:v>14.937522888183594</c:v>
                </c:pt>
                <c:pt idx="12">
                  <c:v>14.958255767822266</c:v>
                </c:pt>
                <c:pt idx="13">
                  <c:v>15.050312995910645</c:v>
                </c:pt>
                <c:pt idx="14">
                  <c:v>14.696181297302246</c:v>
                </c:pt>
                <c:pt idx="15">
                  <c:v>14.672075271606445</c:v>
                </c:pt>
                <c:pt idx="16">
                  <c:v>16.873802185058594</c:v>
                </c:pt>
                <c:pt idx="17">
                  <c:v>17.195487976074219</c:v>
                </c:pt>
                <c:pt idx="18">
                  <c:v>16.143436431884766</c:v>
                </c:pt>
                <c:pt idx="19">
                  <c:v>16.265813827514648</c:v>
                </c:pt>
                <c:pt idx="20">
                  <c:v>18.702775955200195</c:v>
                </c:pt>
                <c:pt idx="21">
                  <c:v>18.840087890625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B8-4FBE-84A0-8E7DD9D371FF}"/>
            </c:ext>
          </c:extLst>
        </c:ser>
        <c:ser>
          <c:idx val="1"/>
          <c:order val="1"/>
          <c:tx>
            <c:v>2000m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('CHN raw data'!$E$57:$E$65,'CHN raw data'!$E$67,'CHN raw data'!$E$69:$E$73,'CHN raw data'!$E$76:$E$80,'CHN raw data'!$E$82:$E$83)</c:f>
              <c:numCache>
                <c:formatCode>0.00</c:formatCode>
                <c:ptCount val="22"/>
                <c:pt idx="0">
                  <c:v>0.94305235147476196</c:v>
                </c:pt>
                <c:pt idx="1">
                  <c:v>1.0229183435440063</c:v>
                </c:pt>
                <c:pt idx="2">
                  <c:v>1.0313595533370972</c:v>
                </c:pt>
                <c:pt idx="3">
                  <c:v>1.1036072969436646</c:v>
                </c:pt>
                <c:pt idx="4">
                  <c:v>0.97466748952865601</c:v>
                </c:pt>
                <c:pt idx="5">
                  <c:v>0.81766867637634277</c:v>
                </c:pt>
                <c:pt idx="6">
                  <c:v>0.70571339130401611</c:v>
                </c:pt>
                <c:pt idx="7">
                  <c:v>0.73953312635421753</c:v>
                </c:pt>
                <c:pt idx="8">
                  <c:v>0.75847733020782471</c:v>
                </c:pt>
                <c:pt idx="9">
                  <c:v>0.74714404344558716</c:v>
                </c:pt>
                <c:pt idx="10">
                  <c:v>0.85094332695007324</c:v>
                </c:pt>
                <c:pt idx="11">
                  <c:v>0.94212967157363892</c:v>
                </c:pt>
                <c:pt idx="12">
                  <c:v>0.82743889093399048</c:v>
                </c:pt>
                <c:pt idx="13">
                  <c:v>0.87875699996948242</c:v>
                </c:pt>
                <c:pt idx="14">
                  <c:v>0.77106380462646484</c:v>
                </c:pt>
                <c:pt idx="15">
                  <c:v>0.69120252132415771</c:v>
                </c:pt>
                <c:pt idx="16">
                  <c:v>0.71226668357849121</c:v>
                </c:pt>
                <c:pt idx="17">
                  <c:v>0.72834450006484985</c:v>
                </c:pt>
                <c:pt idx="18">
                  <c:v>0.75182080268859863</c:v>
                </c:pt>
                <c:pt idx="19">
                  <c:v>0.76021409034729004</c:v>
                </c:pt>
                <c:pt idx="20">
                  <c:v>1.0963776111602783</c:v>
                </c:pt>
                <c:pt idx="21">
                  <c:v>1.2122112512588501</c:v>
                </c:pt>
              </c:numCache>
            </c:numRef>
          </c:xVal>
          <c:yVal>
            <c:numRef>
              <c:f>('CHN raw data'!$C$57:$C$65,'CHN raw data'!$C$67,'CHN raw data'!$C$69:$C$73,'CHN raw data'!$C$76:$C$80,'CHN raw data'!$C$82:$C$84)</c:f>
              <c:numCache>
                <c:formatCode>0.00</c:formatCode>
                <c:ptCount val="23"/>
                <c:pt idx="0">
                  <c:v>13.865879058837891</c:v>
                </c:pt>
                <c:pt idx="1">
                  <c:v>14.813459396362305</c:v>
                </c:pt>
                <c:pt idx="2">
                  <c:v>14.846558570861816</c:v>
                </c:pt>
                <c:pt idx="3">
                  <c:v>14.743440628051758</c:v>
                </c:pt>
                <c:pt idx="4">
                  <c:v>14.3856201171875</c:v>
                </c:pt>
                <c:pt idx="5">
                  <c:v>13.999913215637207</c:v>
                </c:pt>
                <c:pt idx="6">
                  <c:v>13.45853328704834</c:v>
                </c:pt>
                <c:pt idx="7">
                  <c:v>13.810207366943359</c:v>
                </c:pt>
                <c:pt idx="8">
                  <c:v>13.826024055480957</c:v>
                </c:pt>
                <c:pt idx="9">
                  <c:v>13.597410202026367</c:v>
                </c:pt>
                <c:pt idx="10">
                  <c:v>13.552042961120605</c:v>
                </c:pt>
                <c:pt idx="11">
                  <c:v>13.333328247070313</c:v>
                </c:pt>
                <c:pt idx="12">
                  <c:v>13.47187328338623</c:v>
                </c:pt>
                <c:pt idx="13">
                  <c:v>12.883601188659668</c:v>
                </c:pt>
                <c:pt idx="14">
                  <c:v>13.06114387512207</c:v>
                </c:pt>
                <c:pt idx="15">
                  <c:v>13.275106430053711</c:v>
                </c:pt>
                <c:pt idx="16">
                  <c:v>13.321050643920898</c:v>
                </c:pt>
                <c:pt idx="17">
                  <c:v>13.42512035369873</c:v>
                </c:pt>
                <c:pt idx="18">
                  <c:v>14.07595157623291</c:v>
                </c:pt>
                <c:pt idx="19">
                  <c:v>14.142654418945313</c:v>
                </c:pt>
                <c:pt idx="20">
                  <c:v>15.354694366455078</c:v>
                </c:pt>
                <c:pt idx="21">
                  <c:v>15.820767402648926</c:v>
                </c:pt>
                <c:pt idx="22">
                  <c:v>13.126324653625488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B8-4FBE-84A0-8E7DD9D371FF}"/>
            </c:ext>
          </c:extLst>
        </c:ser>
        <c:ser>
          <c:idx val="2"/>
          <c:order val="2"/>
          <c:tx>
            <c:v>3800m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('CHN raw data'!$E$5:$E$15,'CHN raw data'!$E$17:$E$22,'CHN raw data'!$E$24:$E$28,'CHN raw data'!$E$30)</c:f>
              <c:numCache>
                <c:formatCode>0.00</c:formatCode>
                <c:ptCount val="23"/>
                <c:pt idx="0">
                  <c:v>0.59025824069976807</c:v>
                </c:pt>
                <c:pt idx="1">
                  <c:v>0.7134089469909668</c:v>
                </c:pt>
                <c:pt idx="2">
                  <c:v>0.5815805196762085</c:v>
                </c:pt>
                <c:pt idx="3">
                  <c:v>0.59120053052902222</c:v>
                </c:pt>
                <c:pt idx="4">
                  <c:v>0.64371716976165771</c:v>
                </c:pt>
                <c:pt idx="5">
                  <c:v>0.62657523155212402</c:v>
                </c:pt>
                <c:pt idx="6">
                  <c:v>0.60172700881958008</c:v>
                </c:pt>
                <c:pt idx="7">
                  <c:v>0.59552651643753052</c:v>
                </c:pt>
                <c:pt idx="8">
                  <c:v>0.60648548603057861</c:v>
                </c:pt>
                <c:pt idx="9">
                  <c:v>0.56915897130966187</c:v>
                </c:pt>
                <c:pt idx="10">
                  <c:v>0.74613505601882935</c:v>
                </c:pt>
                <c:pt idx="11">
                  <c:v>0.76863497495651245</c:v>
                </c:pt>
                <c:pt idx="12">
                  <c:v>0.76153069734573364</c:v>
                </c:pt>
                <c:pt idx="13">
                  <c:v>0.65266978740692139</c:v>
                </c:pt>
                <c:pt idx="14">
                  <c:v>0.70554590225219727</c:v>
                </c:pt>
                <c:pt idx="15">
                  <c:v>0.58270043134689331</c:v>
                </c:pt>
                <c:pt idx="16">
                  <c:v>0.46513721346855164</c:v>
                </c:pt>
                <c:pt idx="17">
                  <c:v>0.53989666700363159</c:v>
                </c:pt>
                <c:pt idx="18">
                  <c:v>0.5759199857711792</c:v>
                </c:pt>
                <c:pt idx="19">
                  <c:v>0.47997963428497314</c:v>
                </c:pt>
                <c:pt idx="20">
                  <c:v>0.56030535697937012</c:v>
                </c:pt>
                <c:pt idx="21">
                  <c:v>0.56209111213684082</c:v>
                </c:pt>
                <c:pt idx="22">
                  <c:v>0.46986791491508484</c:v>
                </c:pt>
              </c:numCache>
            </c:numRef>
          </c:xVal>
          <c:yVal>
            <c:numRef>
              <c:f>('CHN raw data'!$C$5:$C$15,'CHN raw data'!$C$17:$C$22,'CHN raw data'!$C$24:$C$28,'CHN raw data'!$C$30)</c:f>
              <c:numCache>
                <c:formatCode>0.00</c:formatCode>
                <c:ptCount val="23"/>
                <c:pt idx="0">
                  <c:v>12.899800300598145</c:v>
                </c:pt>
                <c:pt idx="1">
                  <c:v>13.168676376342773</c:v>
                </c:pt>
                <c:pt idx="2">
                  <c:v>12.728379249572754</c:v>
                </c:pt>
                <c:pt idx="3">
                  <c:v>13.007413864135742</c:v>
                </c:pt>
                <c:pt idx="4">
                  <c:v>13.373337745666504</c:v>
                </c:pt>
                <c:pt idx="5">
                  <c:v>13.315540313720703</c:v>
                </c:pt>
                <c:pt idx="6">
                  <c:v>13.32733154296875</c:v>
                </c:pt>
                <c:pt idx="7">
                  <c:v>13.380064964294434</c:v>
                </c:pt>
                <c:pt idx="8">
                  <c:v>13.234282493591309</c:v>
                </c:pt>
                <c:pt idx="9">
                  <c:v>12.993215560913086</c:v>
                </c:pt>
                <c:pt idx="10">
                  <c:v>13.472657203674316</c:v>
                </c:pt>
                <c:pt idx="11">
                  <c:v>13.084894180297852</c:v>
                </c:pt>
                <c:pt idx="12">
                  <c:v>13.283363342285156</c:v>
                </c:pt>
                <c:pt idx="13">
                  <c:v>12.692751884460449</c:v>
                </c:pt>
                <c:pt idx="14">
                  <c:v>12.899261474609375</c:v>
                </c:pt>
                <c:pt idx="15">
                  <c:v>12.310659408569336</c:v>
                </c:pt>
                <c:pt idx="16">
                  <c:v>12.346800804138184</c:v>
                </c:pt>
                <c:pt idx="17">
                  <c:v>12.596179008483887</c:v>
                </c:pt>
                <c:pt idx="18">
                  <c:v>12.922277450561523</c:v>
                </c:pt>
                <c:pt idx="19">
                  <c:v>12.463933944702148</c:v>
                </c:pt>
                <c:pt idx="20">
                  <c:v>12.741425514221191</c:v>
                </c:pt>
                <c:pt idx="21">
                  <c:v>13.121577262878418</c:v>
                </c:pt>
                <c:pt idx="22">
                  <c:v>12.301499366760254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2B8-4FBE-84A0-8E7DD9D371FF}"/>
            </c:ext>
          </c:extLst>
        </c:ser>
        <c:ser>
          <c:idx val="3"/>
          <c:order val="3"/>
          <c:tx>
            <c:v>PACS-2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('CHN raw data'!$E$23,'CHN raw data'!$E$34,'CHN raw data'!$E$74,'CHN raw data'!$E$75)</c:f>
              <c:numCache>
                <c:formatCode>0.00</c:formatCode>
                <c:ptCount val="4"/>
                <c:pt idx="0">
                  <c:v>0.27374288439750671</c:v>
                </c:pt>
                <c:pt idx="1">
                  <c:v>0.26954087615013123</c:v>
                </c:pt>
                <c:pt idx="2">
                  <c:v>0.28196638822555542</c:v>
                </c:pt>
                <c:pt idx="3">
                  <c:v>0.27392181754112244</c:v>
                </c:pt>
              </c:numCache>
            </c:numRef>
          </c:xVal>
          <c:yVal>
            <c:numRef>
              <c:f>('CHN raw data'!$C$23,'CHN raw data'!$C$34,'CHN raw data'!$C$74,'CHN raw data'!$C$75)</c:f>
              <c:numCache>
                <c:formatCode>0.00</c:formatCode>
                <c:ptCount val="4"/>
                <c:pt idx="0">
                  <c:v>3.2519707679748535</c:v>
                </c:pt>
                <c:pt idx="1">
                  <c:v>3.1854884624481201</c:v>
                </c:pt>
                <c:pt idx="2">
                  <c:v>3.2369575500488281</c:v>
                </c:pt>
                <c:pt idx="3">
                  <c:v>3.1737933158874512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2B8-4FBE-84A0-8E7DD9D37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778216"/>
        <c:axId val="773769688"/>
      </c:scatterChart>
      <c:valAx>
        <c:axId val="773778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769688"/>
        <c:crosses val="autoZero"/>
        <c:crossBetween val="midCat"/>
      </c:valAx>
      <c:valAx>
        <c:axId val="77376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778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Acetanilide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('CHN raw data'!$E$49,'CHN raw data'!$E$66,'CHN raw data'!$E$85,'CHN raw data'!$E$86)</c:f>
              <c:numCache>
                <c:formatCode>0.00</c:formatCode>
                <c:ptCount val="4"/>
                <c:pt idx="0">
                  <c:v>10.371975517272899</c:v>
                </c:pt>
                <c:pt idx="1">
                  <c:v>10.295948028564453</c:v>
                </c:pt>
                <c:pt idx="2">
                  <c:v>10.414011001586914</c:v>
                </c:pt>
                <c:pt idx="3">
                  <c:v>10.3961679458618</c:v>
                </c:pt>
              </c:numCache>
            </c:numRef>
          </c:xVal>
          <c:yVal>
            <c:numRef>
              <c:f>('CHN raw data'!$C$49,'CHN raw data'!$C$66,'CHN raw data'!$C$85,'CHN raw data'!$C$86)</c:f>
              <c:numCache>
                <c:formatCode>0.00</c:formatCode>
                <c:ptCount val="4"/>
                <c:pt idx="0">
                  <c:v>71.105873107910156</c:v>
                </c:pt>
                <c:pt idx="1">
                  <c:v>71.189558410644494</c:v>
                </c:pt>
                <c:pt idx="2">
                  <c:v>71.153512573242097</c:v>
                </c:pt>
                <c:pt idx="3">
                  <c:v>71.044372558593693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1B-47D2-BC9A-27D2809F7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778216"/>
        <c:axId val="773769688"/>
      </c:scatterChart>
      <c:valAx>
        <c:axId val="773778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769688"/>
        <c:crosses val="autoZero"/>
        <c:crossBetween val="midCat"/>
      </c:valAx>
      <c:valAx>
        <c:axId val="77376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778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AU"/>
              <a:t>SAZ22 %BSi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47_1000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main!$V$7:$V$27</c:f>
              <c:numCache>
                <c:formatCode>m/d/yyyy</c:formatCode>
                <c:ptCount val="21"/>
                <c:pt idx="0">
                  <c:v>44087</c:v>
                </c:pt>
                <c:pt idx="1">
                  <c:v>44097</c:v>
                </c:pt>
                <c:pt idx="2">
                  <c:v>44107</c:v>
                </c:pt>
                <c:pt idx="3">
                  <c:v>44117</c:v>
                </c:pt>
                <c:pt idx="4">
                  <c:v>44127</c:v>
                </c:pt>
                <c:pt idx="5">
                  <c:v>44137</c:v>
                </c:pt>
                <c:pt idx="6">
                  <c:v>44147</c:v>
                </c:pt>
                <c:pt idx="7">
                  <c:v>44157</c:v>
                </c:pt>
                <c:pt idx="8">
                  <c:v>44167</c:v>
                </c:pt>
                <c:pt idx="9">
                  <c:v>44177</c:v>
                </c:pt>
                <c:pt idx="10">
                  <c:v>44187</c:v>
                </c:pt>
                <c:pt idx="11">
                  <c:v>44197</c:v>
                </c:pt>
                <c:pt idx="12">
                  <c:v>44207</c:v>
                </c:pt>
                <c:pt idx="13">
                  <c:v>44217</c:v>
                </c:pt>
                <c:pt idx="14">
                  <c:v>44227</c:v>
                </c:pt>
                <c:pt idx="15">
                  <c:v>44237</c:v>
                </c:pt>
                <c:pt idx="16">
                  <c:v>44247</c:v>
                </c:pt>
                <c:pt idx="17">
                  <c:v>44257</c:v>
                </c:pt>
                <c:pt idx="18">
                  <c:v>44267</c:v>
                </c:pt>
                <c:pt idx="19">
                  <c:v>44277</c:v>
                </c:pt>
                <c:pt idx="20">
                  <c:v>44287</c:v>
                </c:pt>
              </c:numCache>
            </c:numRef>
          </c:xVal>
          <c:yVal>
            <c:numRef>
              <c:f>main!$AB$7:$AB$27</c:f>
              <c:numCache>
                <c:formatCode>General</c:formatCode>
                <c:ptCount val="21"/>
                <c:pt idx="0">
                  <c:v>4.9218101598604171</c:v>
                </c:pt>
                <c:pt idx="1">
                  <c:v>5.7586530090995698</c:v>
                </c:pt>
                <c:pt idx="2">
                  <c:v>4.2487933475159156</c:v>
                </c:pt>
                <c:pt idx="3">
                  <c:v>3.7113961728881879</c:v>
                </c:pt>
                <c:pt idx="4">
                  <c:v>3.9807685809615134</c:v>
                </c:pt>
                <c:pt idx="5">
                  <c:v>3.5414634203872133</c:v>
                </c:pt>
                <c:pt idx="6">
                  <c:v>3.4740489001330288</c:v>
                </c:pt>
                <c:pt idx="7">
                  <c:v>3.6617362416244483</c:v>
                </c:pt>
                <c:pt idx="8">
                  <c:v>3.5906345053797613</c:v>
                </c:pt>
                <c:pt idx="9">
                  <c:v>3.8982248147823411</c:v>
                </c:pt>
                <c:pt idx="10">
                  <c:v>8.939913538849785</c:v>
                </c:pt>
                <c:pt idx="11">
                  <c:v>4.4432831128703842</c:v>
                </c:pt>
                <c:pt idx="12">
                  <c:v>7.0473298904850807</c:v>
                </c:pt>
                <c:pt idx="13">
                  <c:v>3.5348340234192897</c:v>
                </c:pt>
                <c:pt idx="14">
                  <c:v>1.7803086555360281</c:v>
                </c:pt>
                <c:pt idx="15">
                  <c:v>1.1780830604108081</c:v>
                </c:pt>
                <c:pt idx="16">
                  <c:v>0</c:v>
                </c:pt>
                <c:pt idx="17">
                  <c:v>2.3456241663983803</c:v>
                </c:pt>
                <c:pt idx="18">
                  <c:v>3.1318612688082719</c:v>
                </c:pt>
                <c:pt idx="19">
                  <c:v>4.4693854411706067</c:v>
                </c:pt>
                <c:pt idx="20">
                  <c:v>3.7982866455250184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EA-4664-AF5D-4F0F0A817369}"/>
            </c:ext>
          </c:extLst>
        </c:ser>
        <c:ser>
          <c:idx val="1"/>
          <c:order val="1"/>
          <c:tx>
            <c:v>47_2000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main!$V$31:$V$51</c:f>
              <c:numCache>
                <c:formatCode>m/d/yyyy</c:formatCode>
                <c:ptCount val="21"/>
                <c:pt idx="0">
                  <c:v>44087</c:v>
                </c:pt>
                <c:pt idx="1">
                  <c:v>44097</c:v>
                </c:pt>
                <c:pt idx="2">
                  <c:v>44107</c:v>
                </c:pt>
                <c:pt idx="3">
                  <c:v>44117</c:v>
                </c:pt>
                <c:pt idx="4">
                  <c:v>44127</c:v>
                </c:pt>
                <c:pt idx="5">
                  <c:v>44137</c:v>
                </c:pt>
                <c:pt idx="6">
                  <c:v>44147</c:v>
                </c:pt>
                <c:pt idx="7">
                  <c:v>44157</c:v>
                </c:pt>
                <c:pt idx="8">
                  <c:v>44167</c:v>
                </c:pt>
                <c:pt idx="9">
                  <c:v>44177</c:v>
                </c:pt>
                <c:pt idx="10">
                  <c:v>44187</c:v>
                </c:pt>
                <c:pt idx="11">
                  <c:v>44197</c:v>
                </c:pt>
                <c:pt idx="12">
                  <c:v>44207</c:v>
                </c:pt>
                <c:pt idx="13">
                  <c:v>44217</c:v>
                </c:pt>
                <c:pt idx="14">
                  <c:v>44227</c:v>
                </c:pt>
                <c:pt idx="15">
                  <c:v>44237</c:v>
                </c:pt>
                <c:pt idx="16">
                  <c:v>44247</c:v>
                </c:pt>
                <c:pt idx="17">
                  <c:v>44257</c:v>
                </c:pt>
                <c:pt idx="18">
                  <c:v>44267</c:v>
                </c:pt>
                <c:pt idx="19">
                  <c:v>44277</c:v>
                </c:pt>
                <c:pt idx="20">
                  <c:v>44287</c:v>
                </c:pt>
              </c:numCache>
            </c:numRef>
          </c:xVal>
          <c:yVal>
            <c:numRef>
              <c:f>main!$AB$31:$AB$51</c:f>
              <c:numCache>
                <c:formatCode>General</c:formatCode>
                <c:ptCount val="21"/>
                <c:pt idx="0">
                  <c:v>5.6127631104161644</c:v>
                </c:pt>
                <c:pt idx="1">
                  <c:v>5.5458758253437059</c:v>
                </c:pt>
                <c:pt idx="2">
                  <c:v>4.9673688050988805</c:v>
                </c:pt>
                <c:pt idx="3">
                  <c:v>4.6966578671178896</c:v>
                </c:pt>
                <c:pt idx="4">
                  <c:v>3.9837007392541857</c:v>
                </c:pt>
                <c:pt idx="5">
                  <c:v>3.8628710930769494</c:v>
                </c:pt>
                <c:pt idx="6">
                  <c:v>3.6777939637434365</c:v>
                </c:pt>
                <c:pt idx="7">
                  <c:v>3.5494691488896661</c:v>
                </c:pt>
                <c:pt idx="8">
                  <c:v>3.9647975997547364</c:v>
                </c:pt>
                <c:pt idx="9">
                  <c:v>6.10953162858093</c:v>
                </c:pt>
                <c:pt idx="10">
                  <c:v>10.82106500146045</c:v>
                </c:pt>
                <c:pt idx="11">
                  <c:v>8.6442440349600247</c:v>
                </c:pt>
                <c:pt idx="12">
                  <c:v>9.6224117676464722</c:v>
                </c:pt>
                <c:pt idx="13">
                  <c:v>7.5553756533870153</c:v>
                </c:pt>
                <c:pt idx="14">
                  <c:v>5.1202767913001876</c:v>
                </c:pt>
                <c:pt idx="15">
                  <c:v>4.6826600418081226</c:v>
                </c:pt>
                <c:pt idx="16">
                  <c:v>4.7950258244882482</c:v>
                </c:pt>
                <c:pt idx="17">
                  <c:v>4.1350644209469749</c:v>
                </c:pt>
                <c:pt idx="18">
                  <c:v>4.5011020746242112</c:v>
                </c:pt>
                <c:pt idx="19">
                  <c:v>5.7352738346144303</c:v>
                </c:pt>
                <c:pt idx="20">
                  <c:v>6.2631477858369919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EA-4664-AF5D-4F0F0A817369}"/>
            </c:ext>
          </c:extLst>
        </c:ser>
        <c:ser>
          <c:idx val="3"/>
          <c:order val="2"/>
          <c:tx>
            <c:v>47_3800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  <a:prstDash val="solid"/>
              </a:ln>
            </c:spPr>
          </c:marker>
          <c:xVal>
            <c:numRef>
              <c:f>main!$V$55:$V$75</c:f>
              <c:numCache>
                <c:formatCode>m/d/yyyy</c:formatCode>
                <c:ptCount val="21"/>
                <c:pt idx="0">
                  <c:v>44087</c:v>
                </c:pt>
                <c:pt idx="1">
                  <c:v>44097</c:v>
                </c:pt>
                <c:pt idx="2">
                  <c:v>44107</c:v>
                </c:pt>
                <c:pt idx="3">
                  <c:v>44117</c:v>
                </c:pt>
                <c:pt idx="4">
                  <c:v>44127</c:v>
                </c:pt>
                <c:pt idx="5">
                  <c:v>44137</c:v>
                </c:pt>
                <c:pt idx="6">
                  <c:v>44147</c:v>
                </c:pt>
                <c:pt idx="7">
                  <c:v>44157</c:v>
                </c:pt>
                <c:pt idx="8">
                  <c:v>44167</c:v>
                </c:pt>
                <c:pt idx="9">
                  <c:v>44177</c:v>
                </c:pt>
                <c:pt idx="10">
                  <c:v>44187</c:v>
                </c:pt>
                <c:pt idx="11">
                  <c:v>44197</c:v>
                </c:pt>
                <c:pt idx="12">
                  <c:v>44207</c:v>
                </c:pt>
                <c:pt idx="13">
                  <c:v>44217</c:v>
                </c:pt>
                <c:pt idx="14">
                  <c:v>44227</c:v>
                </c:pt>
                <c:pt idx="15">
                  <c:v>44237</c:v>
                </c:pt>
                <c:pt idx="16">
                  <c:v>44247</c:v>
                </c:pt>
                <c:pt idx="17">
                  <c:v>44257</c:v>
                </c:pt>
                <c:pt idx="18">
                  <c:v>44267</c:v>
                </c:pt>
                <c:pt idx="19">
                  <c:v>44277</c:v>
                </c:pt>
                <c:pt idx="20">
                  <c:v>44287</c:v>
                </c:pt>
              </c:numCache>
            </c:numRef>
          </c:xVal>
          <c:yVal>
            <c:numRef>
              <c:f>main!$AB$55:$AB$75</c:f>
              <c:numCache>
                <c:formatCode>General</c:formatCode>
                <c:ptCount val="21"/>
                <c:pt idx="0">
                  <c:v>4.751820907246838</c:v>
                </c:pt>
                <c:pt idx="1">
                  <c:v>5.0364600465203715</c:v>
                </c:pt>
                <c:pt idx="2">
                  <c:v>5.0327405447628504</c:v>
                </c:pt>
                <c:pt idx="3">
                  <c:v>3.9334797827984236</c:v>
                </c:pt>
                <c:pt idx="4">
                  <c:v>4.3524597989431113</c:v>
                </c:pt>
                <c:pt idx="5">
                  <c:v>4.131922952353535</c:v>
                </c:pt>
                <c:pt idx="6">
                  <c:v>3.7052913978229824</c:v>
                </c:pt>
                <c:pt idx="7">
                  <c:v>3.7302373745900064</c:v>
                </c:pt>
                <c:pt idx="8">
                  <c:v>3.7932186349915229</c:v>
                </c:pt>
                <c:pt idx="9">
                  <c:v>3.9164239704910808</c:v>
                </c:pt>
                <c:pt idx="10">
                  <c:v>6.5596598559310619</c:v>
                </c:pt>
                <c:pt idx="11">
                  <c:v>8.4994246108032545</c:v>
                </c:pt>
                <c:pt idx="12">
                  <c:v>7.1012291337416045</c:v>
                </c:pt>
                <c:pt idx="13">
                  <c:v>7.2363021171661863</c:v>
                </c:pt>
                <c:pt idx="14">
                  <c:v>7.403100659887496</c:v>
                </c:pt>
                <c:pt idx="15">
                  <c:v>5.4052096726053804</c:v>
                </c:pt>
                <c:pt idx="16">
                  <c:v>5.0650774797338638</c:v>
                </c:pt>
                <c:pt idx="17">
                  <c:v>4.8718932748538011</c:v>
                </c:pt>
                <c:pt idx="18">
                  <c:v>4.6810468183484746</c:v>
                </c:pt>
                <c:pt idx="19">
                  <c:v>4.7562084125475277</c:v>
                </c:pt>
                <c:pt idx="20">
                  <c:v>3.8195386282289014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EA-4664-AF5D-4F0F0A817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142344"/>
        <c:axId val="-2091133512"/>
      </c:scatterChart>
      <c:valAx>
        <c:axId val="-2091142344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Midpoint time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1133512"/>
        <c:crosses val="autoZero"/>
        <c:crossBetween val="midCat"/>
      </c:valAx>
      <c:valAx>
        <c:axId val="-209113351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%BSi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114234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094136813020065"/>
          <c:y val="0.54778677140881904"/>
          <c:w val="8.4618613342703361E-2"/>
          <c:h val="0.18881167826049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Height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92328380928875E-2"/>
          <c:y val="3.329549357292106E-2"/>
          <c:w val="0.86136163016288991"/>
          <c:h val="0.76306192699635322"/>
        </c:manualLayout>
      </c:layout>
      <c:scatterChart>
        <c:scatterStyle val="lineMarker"/>
        <c:varyColors val="0"/>
        <c:ser>
          <c:idx val="0"/>
          <c:order val="0"/>
          <c:tx>
            <c:v>1000m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main!$V$7:$V$27</c:f>
              <c:numCache>
                <c:formatCode>m/d/yyyy</c:formatCode>
                <c:ptCount val="21"/>
                <c:pt idx="0">
                  <c:v>44087</c:v>
                </c:pt>
                <c:pt idx="1">
                  <c:v>44097</c:v>
                </c:pt>
                <c:pt idx="2">
                  <c:v>44107</c:v>
                </c:pt>
                <c:pt idx="3">
                  <c:v>44117</c:v>
                </c:pt>
                <c:pt idx="4">
                  <c:v>44127</c:v>
                </c:pt>
                <c:pt idx="5">
                  <c:v>44137</c:v>
                </c:pt>
                <c:pt idx="6">
                  <c:v>44147</c:v>
                </c:pt>
                <c:pt idx="7">
                  <c:v>44157</c:v>
                </c:pt>
                <c:pt idx="8">
                  <c:v>44167</c:v>
                </c:pt>
                <c:pt idx="9">
                  <c:v>44177</c:v>
                </c:pt>
                <c:pt idx="10">
                  <c:v>44187</c:v>
                </c:pt>
                <c:pt idx="11">
                  <c:v>44197</c:v>
                </c:pt>
                <c:pt idx="12">
                  <c:v>44207</c:v>
                </c:pt>
                <c:pt idx="13">
                  <c:v>44217</c:v>
                </c:pt>
                <c:pt idx="14">
                  <c:v>44227</c:v>
                </c:pt>
                <c:pt idx="15">
                  <c:v>44237</c:v>
                </c:pt>
                <c:pt idx="16">
                  <c:v>44247</c:v>
                </c:pt>
                <c:pt idx="17">
                  <c:v>44257</c:v>
                </c:pt>
                <c:pt idx="18">
                  <c:v>44267</c:v>
                </c:pt>
                <c:pt idx="19">
                  <c:v>44277</c:v>
                </c:pt>
                <c:pt idx="20">
                  <c:v>44287</c:v>
                </c:pt>
              </c:numCache>
            </c:numRef>
          </c:xVal>
          <c:yVal>
            <c:numRef>
              <c:f>main!$D$7:$D$27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15</c:v>
                </c:pt>
                <c:pt idx="11">
                  <c:v>10</c:v>
                </c:pt>
                <c:pt idx="12">
                  <c:v>13</c:v>
                </c:pt>
                <c:pt idx="13">
                  <c:v>7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07-4918-B2CF-F1BF483C113F}"/>
            </c:ext>
          </c:extLst>
        </c:ser>
        <c:ser>
          <c:idx val="1"/>
          <c:order val="1"/>
          <c:tx>
            <c:v>2000m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main!$V$31:$V$51</c:f>
              <c:numCache>
                <c:formatCode>m/d/yyyy</c:formatCode>
                <c:ptCount val="21"/>
                <c:pt idx="0">
                  <c:v>44087</c:v>
                </c:pt>
                <c:pt idx="1">
                  <c:v>44097</c:v>
                </c:pt>
                <c:pt idx="2">
                  <c:v>44107</c:v>
                </c:pt>
                <c:pt idx="3">
                  <c:v>44117</c:v>
                </c:pt>
                <c:pt idx="4">
                  <c:v>44127</c:v>
                </c:pt>
                <c:pt idx="5">
                  <c:v>44137</c:v>
                </c:pt>
                <c:pt idx="6">
                  <c:v>44147</c:v>
                </c:pt>
                <c:pt idx="7">
                  <c:v>44157</c:v>
                </c:pt>
                <c:pt idx="8">
                  <c:v>44167</c:v>
                </c:pt>
                <c:pt idx="9">
                  <c:v>44177</c:v>
                </c:pt>
                <c:pt idx="10">
                  <c:v>44187</c:v>
                </c:pt>
                <c:pt idx="11">
                  <c:v>44197</c:v>
                </c:pt>
                <c:pt idx="12">
                  <c:v>44207</c:v>
                </c:pt>
                <c:pt idx="13">
                  <c:v>44217</c:v>
                </c:pt>
                <c:pt idx="14">
                  <c:v>44227</c:v>
                </c:pt>
                <c:pt idx="15">
                  <c:v>44237</c:v>
                </c:pt>
                <c:pt idx="16">
                  <c:v>44247</c:v>
                </c:pt>
                <c:pt idx="17">
                  <c:v>44257</c:v>
                </c:pt>
                <c:pt idx="18">
                  <c:v>44267</c:v>
                </c:pt>
                <c:pt idx="19">
                  <c:v>44277</c:v>
                </c:pt>
                <c:pt idx="20">
                  <c:v>44287</c:v>
                </c:pt>
              </c:numCache>
            </c:numRef>
          </c:xVal>
          <c:yVal>
            <c:numRef>
              <c:f>main!$D$31:$D$51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25</c:v>
                </c:pt>
                <c:pt idx="11">
                  <c:v>10</c:v>
                </c:pt>
                <c:pt idx="12">
                  <c:v>15</c:v>
                </c:pt>
                <c:pt idx="13">
                  <c:v>14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07-4918-B2CF-F1BF483C113F}"/>
            </c:ext>
          </c:extLst>
        </c:ser>
        <c:ser>
          <c:idx val="2"/>
          <c:order val="2"/>
          <c:tx>
            <c:v>3800m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main!$V$55:$V$75</c:f>
              <c:numCache>
                <c:formatCode>m/d/yyyy</c:formatCode>
                <c:ptCount val="21"/>
                <c:pt idx="0">
                  <c:v>44087</c:v>
                </c:pt>
                <c:pt idx="1">
                  <c:v>44097</c:v>
                </c:pt>
                <c:pt idx="2">
                  <c:v>44107</c:v>
                </c:pt>
                <c:pt idx="3">
                  <c:v>44117</c:v>
                </c:pt>
                <c:pt idx="4">
                  <c:v>44127</c:v>
                </c:pt>
                <c:pt idx="5">
                  <c:v>44137</c:v>
                </c:pt>
                <c:pt idx="6">
                  <c:v>44147</c:v>
                </c:pt>
                <c:pt idx="7">
                  <c:v>44157</c:v>
                </c:pt>
                <c:pt idx="8">
                  <c:v>44167</c:v>
                </c:pt>
                <c:pt idx="9">
                  <c:v>44177</c:v>
                </c:pt>
                <c:pt idx="10">
                  <c:v>44187</c:v>
                </c:pt>
                <c:pt idx="11">
                  <c:v>44197</c:v>
                </c:pt>
                <c:pt idx="12">
                  <c:v>44207</c:v>
                </c:pt>
                <c:pt idx="13">
                  <c:v>44217</c:v>
                </c:pt>
                <c:pt idx="14">
                  <c:v>44227</c:v>
                </c:pt>
                <c:pt idx="15">
                  <c:v>44237</c:v>
                </c:pt>
                <c:pt idx="16">
                  <c:v>44247</c:v>
                </c:pt>
                <c:pt idx="17">
                  <c:v>44257</c:v>
                </c:pt>
                <c:pt idx="18">
                  <c:v>44267</c:v>
                </c:pt>
                <c:pt idx="19">
                  <c:v>44277</c:v>
                </c:pt>
                <c:pt idx="20">
                  <c:v>44287</c:v>
                </c:pt>
              </c:numCache>
            </c:numRef>
          </c:xVal>
          <c:yVal>
            <c:numRef>
              <c:f>main!$D$55:$D$75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10</c:v>
                </c:pt>
                <c:pt idx="11">
                  <c:v>15</c:v>
                </c:pt>
                <c:pt idx="12">
                  <c:v>10</c:v>
                </c:pt>
                <c:pt idx="13">
                  <c:v>10</c:v>
                </c:pt>
                <c:pt idx="14">
                  <c:v>12</c:v>
                </c:pt>
                <c:pt idx="15">
                  <c:v>7</c:v>
                </c:pt>
                <c:pt idx="16">
                  <c:v>4</c:v>
                </c:pt>
                <c:pt idx="17">
                  <c:v>4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07-4918-B2CF-F1BF483C1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992408"/>
        <c:axId val="559004872"/>
      </c:scatterChart>
      <c:valAx>
        <c:axId val="55899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cup mid</a:t>
                </a:r>
                <a:r>
                  <a:rPr lang="en-AU" baseline="0"/>
                  <a:t> point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004872"/>
        <c:crosses val="autoZero"/>
        <c:crossBetween val="midCat"/>
      </c:valAx>
      <c:valAx>
        <c:axId val="55900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Height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92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pH</a:t>
            </a:r>
            <a:r>
              <a:rPr lang="en-AU" baseline="0"/>
              <a:t> vs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92328380928875E-2"/>
          <c:y val="3.329549357292106E-2"/>
          <c:w val="0.86136163016288991"/>
          <c:h val="0.76306192699635322"/>
        </c:manualLayout>
      </c:layout>
      <c:scatterChart>
        <c:scatterStyle val="lineMarker"/>
        <c:varyColors val="0"/>
        <c:ser>
          <c:idx val="0"/>
          <c:order val="0"/>
          <c:tx>
            <c:v>1000m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main!$V$7:$V$27</c:f>
              <c:numCache>
                <c:formatCode>m/d/yyyy</c:formatCode>
                <c:ptCount val="21"/>
                <c:pt idx="0">
                  <c:v>44087</c:v>
                </c:pt>
                <c:pt idx="1">
                  <c:v>44097</c:v>
                </c:pt>
                <c:pt idx="2">
                  <c:v>44107</c:v>
                </c:pt>
                <c:pt idx="3">
                  <c:v>44117</c:v>
                </c:pt>
                <c:pt idx="4">
                  <c:v>44127</c:v>
                </c:pt>
                <c:pt idx="5">
                  <c:v>44137</c:v>
                </c:pt>
                <c:pt idx="6">
                  <c:v>44147</c:v>
                </c:pt>
                <c:pt idx="7">
                  <c:v>44157</c:v>
                </c:pt>
                <c:pt idx="8">
                  <c:v>44167</c:v>
                </c:pt>
                <c:pt idx="9">
                  <c:v>44177</c:v>
                </c:pt>
                <c:pt idx="10">
                  <c:v>44187</c:v>
                </c:pt>
                <c:pt idx="11">
                  <c:v>44197</c:v>
                </c:pt>
                <c:pt idx="12">
                  <c:v>44207</c:v>
                </c:pt>
                <c:pt idx="13">
                  <c:v>44217</c:v>
                </c:pt>
                <c:pt idx="14">
                  <c:v>44227</c:v>
                </c:pt>
                <c:pt idx="15">
                  <c:v>44237</c:v>
                </c:pt>
                <c:pt idx="16">
                  <c:v>44247</c:v>
                </c:pt>
                <c:pt idx="17">
                  <c:v>44257</c:v>
                </c:pt>
                <c:pt idx="18">
                  <c:v>44267</c:v>
                </c:pt>
                <c:pt idx="19">
                  <c:v>44277</c:v>
                </c:pt>
                <c:pt idx="20">
                  <c:v>44287</c:v>
                </c:pt>
              </c:numCache>
            </c:numRef>
          </c:xVal>
          <c:yVal>
            <c:numRef>
              <c:f>main!$S$7:$S$27</c:f>
              <c:numCache>
                <c:formatCode>0.00</c:formatCode>
                <c:ptCount val="21"/>
                <c:pt idx="0">
                  <c:v>8.42</c:v>
                </c:pt>
                <c:pt idx="1">
                  <c:v>8.48</c:v>
                </c:pt>
                <c:pt idx="2">
                  <c:v>8.4550000000000001</c:v>
                </c:pt>
                <c:pt idx="3">
                  <c:v>8.34</c:v>
                </c:pt>
                <c:pt idx="4">
                  <c:v>8.4700000000000006</c:v>
                </c:pt>
                <c:pt idx="5">
                  <c:v>8.4600000000000009</c:v>
                </c:pt>
                <c:pt idx="6">
                  <c:v>8.52</c:v>
                </c:pt>
                <c:pt idx="7">
                  <c:v>8.4499999999999993</c:v>
                </c:pt>
                <c:pt idx="8">
                  <c:v>8.51</c:v>
                </c:pt>
                <c:pt idx="9">
                  <c:v>8.34</c:v>
                </c:pt>
                <c:pt idx="10">
                  <c:v>8.42</c:v>
                </c:pt>
                <c:pt idx="11">
                  <c:v>8.4149999999999991</c:v>
                </c:pt>
                <c:pt idx="12">
                  <c:v>8.3699999999999992</c:v>
                </c:pt>
                <c:pt idx="13">
                  <c:v>8.31</c:v>
                </c:pt>
                <c:pt idx="14">
                  <c:v>8.36</c:v>
                </c:pt>
                <c:pt idx="15">
                  <c:v>8.5299999999999994</c:v>
                </c:pt>
                <c:pt idx="16">
                  <c:v>8.26</c:v>
                </c:pt>
                <c:pt idx="17">
                  <c:v>8.4499999999999993</c:v>
                </c:pt>
                <c:pt idx="18">
                  <c:v>8.5399999999999991</c:v>
                </c:pt>
                <c:pt idx="19">
                  <c:v>8.5500000000000007</c:v>
                </c:pt>
                <c:pt idx="20">
                  <c:v>8.59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91-4216-A20E-4BA23AA3D5E8}"/>
            </c:ext>
          </c:extLst>
        </c:ser>
        <c:ser>
          <c:idx val="1"/>
          <c:order val="1"/>
          <c:tx>
            <c:v>2000m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main!$V$31:$V$51</c:f>
              <c:numCache>
                <c:formatCode>m/d/yyyy</c:formatCode>
                <c:ptCount val="21"/>
                <c:pt idx="0">
                  <c:v>44087</c:v>
                </c:pt>
                <c:pt idx="1">
                  <c:v>44097</c:v>
                </c:pt>
                <c:pt idx="2">
                  <c:v>44107</c:v>
                </c:pt>
                <c:pt idx="3">
                  <c:v>44117</c:v>
                </c:pt>
                <c:pt idx="4">
                  <c:v>44127</c:v>
                </c:pt>
                <c:pt idx="5">
                  <c:v>44137</c:v>
                </c:pt>
                <c:pt idx="6">
                  <c:v>44147</c:v>
                </c:pt>
                <c:pt idx="7">
                  <c:v>44157</c:v>
                </c:pt>
                <c:pt idx="8">
                  <c:v>44167</c:v>
                </c:pt>
                <c:pt idx="9">
                  <c:v>44177</c:v>
                </c:pt>
                <c:pt idx="10">
                  <c:v>44187</c:v>
                </c:pt>
                <c:pt idx="11">
                  <c:v>44197</c:v>
                </c:pt>
                <c:pt idx="12">
                  <c:v>44207</c:v>
                </c:pt>
                <c:pt idx="13">
                  <c:v>44217</c:v>
                </c:pt>
                <c:pt idx="14">
                  <c:v>44227</c:v>
                </c:pt>
                <c:pt idx="15">
                  <c:v>44237</c:v>
                </c:pt>
                <c:pt idx="16">
                  <c:v>44247</c:v>
                </c:pt>
                <c:pt idx="17">
                  <c:v>44257</c:v>
                </c:pt>
                <c:pt idx="18">
                  <c:v>44267</c:v>
                </c:pt>
                <c:pt idx="19">
                  <c:v>44277</c:v>
                </c:pt>
                <c:pt idx="20">
                  <c:v>44287</c:v>
                </c:pt>
              </c:numCache>
            </c:numRef>
          </c:xVal>
          <c:yVal>
            <c:numRef>
              <c:f>main!$S$31:$S$51</c:f>
              <c:numCache>
                <c:formatCode>0.00</c:formatCode>
                <c:ptCount val="21"/>
                <c:pt idx="0">
                  <c:v>8.5500000000000007</c:v>
                </c:pt>
                <c:pt idx="1">
                  <c:v>8.49</c:v>
                </c:pt>
                <c:pt idx="2">
                  <c:v>8.57</c:v>
                </c:pt>
                <c:pt idx="3">
                  <c:v>8.5399999999999991</c:v>
                </c:pt>
                <c:pt idx="4">
                  <c:v>8.59</c:v>
                </c:pt>
                <c:pt idx="5">
                  <c:v>8.58</c:v>
                </c:pt>
                <c:pt idx="6">
                  <c:v>8.57</c:v>
                </c:pt>
                <c:pt idx="7">
                  <c:v>8.59</c:v>
                </c:pt>
                <c:pt idx="8">
                  <c:v>8.58</c:v>
                </c:pt>
                <c:pt idx="9">
                  <c:v>8.5500000000000007</c:v>
                </c:pt>
                <c:pt idx="10">
                  <c:v>8.44</c:v>
                </c:pt>
                <c:pt idx="11">
                  <c:v>8.5350000000000001</c:v>
                </c:pt>
                <c:pt idx="12">
                  <c:v>8.57</c:v>
                </c:pt>
                <c:pt idx="13">
                  <c:v>8.59</c:v>
                </c:pt>
                <c:pt idx="14">
                  <c:v>8.5</c:v>
                </c:pt>
                <c:pt idx="15">
                  <c:v>8.6</c:v>
                </c:pt>
                <c:pt idx="16">
                  <c:v>8.58</c:v>
                </c:pt>
                <c:pt idx="17">
                  <c:v>8.56</c:v>
                </c:pt>
                <c:pt idx="18">
                  <c:v>8.64</c:v>
                </c:pt>
                <c:pt idx="19">
                  <c:v>8.64</c:v>
                </c:pt>
                <c:pt idx="20">
                  <c:v>8.56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91-4216-A20E-4BA23AA3D5E8}"/>
            </c:ext>
          </c:extLst>
        </c:ser>
        <c:ser>
          <c:idx val="2"/>
          <c:order val="2"/>
          <c:tx>
            <c:v>3800m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main!$V$55:$V$75</c:f>
              <c:numCache>
                <c:formatCode>m/d/yyyy</c:formatCode>
                <c:ptCount val="21"/>
                <c:pt idx="0">
                  <c:v>44087</c:v>
                </c:pt>
                <c:pt idx="1">
                  <c:v>44097</c:v>
                </c:pt>
                <c:pt idx="2">
                  <c:v>44107</c:v>
                </c:pt>
                <c:pt idx="3">
                  <c:v>44117</c:v>
                </c:pt>
                <c:pt idx="4">
                  <c:v>44127</c:v>
                </c:pt>
                <c:pt idx="5">
                  <c:v>44137</c:v>
                </c:pt>
                <c:pt idx="6">
                  <c:v>44147</c:v>
                </c:pt>
                <c:pt idx="7">
                  <c:v>44157</c:v>
                </c:pt>
                <c:pt idx="8">
                  <c:v>44167</c:v>
                </c:pt>
                <c:pt idx="9">
                  <c:v>44177</c:v>
                </c:pt>
                <c:pt idx="10">
                  <c:v>44187</c:v>
                </c:pt>
                <c:pt idx="11">
                  <c:v>44197</c:v>
                </c:pt>
                <c:pt idx="12">
                  <c:v>44207</c:v>
                </c:pt>
                <c:pt idx="13">
                  <c:v>44217</c:v>
                </c:pt>
                <c:pt idx="14">
                  <c:v>44227</c:v>
                </c:pt>
                <c:pt idx="15">
                  <c:v>44237</c:v>
                </c:pt>
                <c:pt idx="16">
                  <c:v>44247</c:v>
                </c:pt>
                <c:pt idx="17">
                  <c:v>44257</c:v>
                </c:pt>
                <c:pt idx="18">
                  <c:v>44267</c:v>
                </c:pt>
                <c:pt idx="19">
                  <c:v>44277</c:v>
                </c:pt>
                <c:pt idx="20">
                  <c:v>44287</c:v>
                </c:pt>
              </c:numCache>
            </c:numRef>
          </c:xVal>
          <c:yVal>
            <c:numRef>
              <c:f>main!$S$55:$S$75</c:f>
              <c:numCache>
                <c:formatCode>0.00</c:formatCode>
                <c:ptCount val="21"/>
                <c:pt idx="0">
                  <c:v>8.57</c:v>
                </c:pt>
                <c:pt idx="1">
                  <c:v>8.58</c:v>
                </c:pt>
                <c:pt idx="2">
                  <c:v>8.625</c:v>
                </c:pt>
                <c:pt idx="3">
                  <c:v>8.59</c:v>
                </c:pt>
                <c:pt idx="4">
                  <c:v>8.6</c:v>
                </c:pt>
                <c:pt idx="5">
                  <c:v>8.61</c:v>
                </c:pt>
                <c:pt idx="6">
                  <c:v>8.59</c:v>
                </c:pt>
                <c:pt idx="7">
                  <c:v>8.51</c:v>
                </c:pt>
                <c:pt idx="8">
                  <c:v>8.64</c:v>
                </c:pt>
                <c:pt idx="9">
                  <c:v>8.6300000000000008</c:v>
                </c:pt>
                <c:pt idx="10">
                  <c:v>8.59</c:v>
                </c:pt>
                <c:pt idx="11">
                  <c:v>8.5249999999999986</c:v>
                </c:pt>
                <c:pt idx="12">
                  <c:v>8.58</c:v>
                </c:pt>
                <c:pt idx="13">
                  <c:v>8.56</c:v>
                </c:pt>
                <c:pt idx="14">
                  <c:v>8.6</c:v>
                </c:pt>
                <c:pt idx="15">
                  <c:v>8.57</c:v>
                </c:pt>
                <c:pt idx="16">
                  <c:v>8.5299999999999994</c:v>
                </c:pt>
                <c:pt idx="17">
                  <c:v>8.61</c:v>
                </c:pt>
                <c:pt idx="18">
                  <c:v>8.59</c:v>
                </c:pt>
                <c:pt idx="19">
                  <c:v>8.5500000000000007</c:v>
                </c:pt>
                <c:pt idx="20">
                  <c:v>8.57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91-4216-A20E-4BA23AA3D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992408"/>
        <c:axId val="559004872"/>
      </c:scatterChart>
      <c:valAx>
        <c:axId val="55899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cup mid</a:t>
                </a:r>
                <a:r>
                  <a:rPr lang="en-AU" baseline="0"/>
                  <a:t> point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004872"/>
        <c:crosses val="autoZero"/>
        <c:crossBetween val="midCat"/>
      </c:valAx>
      <c:valAx>
        <c:axId val="55900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92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Salinity</a:t>
            </a:r>
            <a:r>
              <a:rPr lang="en-AU" baseline="0"/>
              <a:t>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92328380928875E-2"/>
          <c:y val="3.329549357292106E-2"/>
          <c:w val="0.86136163016288991"/>
          <c:h val="0.76306192699635322"/>
        </c:manualLayout>
      </c:layout>
      <c:scatterChart>
        <c:scatterStyle val="lineMarker"/>
        <c:varyColors val="0"/>
        <c:ser>
          <c:idx val="0"/>
          <c:order val="0"/>
          <c:tx>
            <c:v>1000m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main!$V$7:$V$27</c:f>
              <c:numCache>
                <c:formatCode>m/d/yyyy</c:formatCode>
                <c:ptCount val="21"/>
                <c:pt idx="0">
                  <c:v>44087</c:v>
                </c:pt>
                <c:pt idx="1">
                  <c:v>44097</c:v>
                </c:pt>
                <c:pt idx="2">
                  <c:v>44107</c:v>
                </c:pt>
                <c:pt idx="3">
                  <c:v>44117</c:v>
                </c:pt>
                <c:pt idx="4">
                  <c:v>44127</c:v>
                </c:pt>
                <c:pt idx="5">
                  <c:v>44137</c:v>
                </c:pt>
                <c:pt idx="6">
                  <c:v>44147</c:v>
                </c:pt>
                <c:pt idx="7">
                  <c:v>44157</c:v>
                </c:pt>
                <c:pt idx="8">
                  <c:v>44167</c:v>
                </c:pt>
                <c:pt idx="9">
                  <c:v>44177</c:v>
                </c:pt>
                <c:pt idx="10">
                  <c:v>44187</c:v>
                </c:pt>
                <c:pt idx="11">
                  <c:v>44197</c:v>
                </c:pt>
                <c:pt idx="12">
                  <c:v>44207</c:v>
                </c:pt>
                <c:pt idx="13">
                  <c:v>44217</c:v>
                </c:pt>
                <c:pt idx="14">
                  <c:v>44227</c:v>
                </c:pt>
                <c:pt idx="15">
                  <c:v>44237</c:v>
                </c:pt>
                <c:pt idx="16">
                  <c:v>44247</c:v>
                </c:pt>
                <c:pt idx="17">
                  <c:v>44257</c:v>
                </c:pt>
                <c:pt idx="18">
                  <c:v>44267</c:v>
                </c:pt>
                <c:pt idx="19">
                  <c:v>44277</c:v>
                </c:pt>
                <c:pt idx="20">
                  <c:v>44287</c:v>
                </c:pt>
              </c:numCache>
            </c:numRef>
          </c:xVal>
          <c:yVal>
            <c:numRef>
              <c:f>main!$R$7:$R$27</c:f>
              <c:numCache>
                <c:formatCode>0.00</c:formatCode>
                <c:ptCount val="21"/>
                <c:pt idx="0">
                  <c:v>39.840000000000003</c:v>
                </c:pt>
                <c:pt idx="1">
                  <c:v>40.11</c:v>
                </c:pt>
                <c:pt idx="2">
                  <c:v>40.39</c:v>
                </c:pt>
                <c:pt idx="3">
                  <c:v>40.06</c:v>
                </c:pt>
                <c:pt idx="4">
                  <c:v>38.090000000000003</c:v>
                </c:pt>
                <c:pt idx="5">
                  <c:v>37.96</c:v>
                </c:pt>
                <c:pt idx="6">
                  <c:v>39.159999999999997</c:v>
                </c:pt>
                <c:pt idx="7">
                  <c:v>39.83</c:v>
                </c:pt>
                <c:pt idx="8">
                  <c:v>40.4</c:v>
                </c:pt>
                <c:pt idx="9">
                  <c:v>38.47</c:v>
                </c:pt>
                <c:pt idx="10">
                  <c:v>39.770000000000003</c:v>
                </c:pt>
                <c:pt idx="11">
                  <c:v>39.114999999999995</c:v>
                </c:pt>
                <c:pt idx="12">
                  <c:v>39.880000000000003</c:v>
                </c:pt>
                <c:pt idx="13">
                  <c:v>38.74</c:v>
                </c:pt>
                <c:pt idx="14">
                  <c:v>37.24</c:v>
                </c:pt>
                <c:pt idx="15">
                  <c:v>39.270000000000003</c:v>
                </c:pt>
                <c:pt idx="16">
                  <c:v>39.75</c:v>
                </c:pt>
                <c:pt idx="17">
                  <c:v>39.590000000000003</c:v>
                </c:pt>
                <c:pt idx="18">
                  <c:v>40.21</c:v>
                </c:pt>
                <c:pt idx="19">
                  <c:v>40.159999999999997</c:v>
                </c:pt>
                <c:pt idx="20">
                  <c:v>40.25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E4-405F-A5D9-95EA10A7B606}"/>
            </c:ext>
          </c:extLst>
        </c:ser>
        <c:ser>
          <c:idx val="1"/>
          <c:order val="1"/>
          <c:tx>
            <c:v>2000m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main!$V$31:$V$51</c:f>
              <c:numCache>
                <c:formatCode>m/d/yyyy</c:formatCode>
                <c:ptCount val="21"/>
                <c:pt idx="0">
                  <c:v>44087</c:v>
                </c:pt>
                <c:pt idx="1">
                  <c:v>44097</c:v>
                </c:pt>
                <c:pt idx="2">
                  <c:v>44107</c:v>
                </c:pt>
                <c:pt idx="3">
                  <c:v>44117</c:v>
                </c:pt>
                <c:pt idx="4">
                  <c:v>44127</c:v>
                </c:pt>
                <c:pt idx="5">
                  <c:v>44137</c:v>
                </c:pt>
                <c:pt idx="6">
                  <c:v>44147</c:v>
                </c:pt>
                <c:pt idx="7">
                  <c:v>44157</c:v>
                </c:pt>
                <c:pt idx="8">
                  <c:v>44167</c:v>
                </c:pt>
                <c:pt idx="9">
                  <c:v>44177</c:v>
                </c:pt>
                <c:pt idx="10">
                  <c:v>44187</c:v>
                </c:pt>
                <c:pt idx="11">
                  <c:v>44197</c:v>
                </c:pt>
                <c:pt idx="12">
                  <c:v>44207</c:v>
                </c:pt>
                <c:pt idx="13">
                  <c:v>44217</c:v>
                </c:pt>
                <c:pt idx="14">
                  <c:v>44227</c:v>
                </c:pt>
                <c:pt idx="15">
                  <c:v>44237</c:v>
                </c:pt>
                <c:pt idx="16">
                  <c:v>44247</c:v>
                </c:pt>
                <c:pt idx="17">
                  <c:v>44257</c:v>
                </c:pt>
                <c:pt idx="18">
                  <c:v>44267</c:v>
                </c:pt>
                <c:pt idx="19">
                  <c:v>44277</c:v>
                </c:pt>
                <c:pt idx="20">
                  <c:v>44287</c:v>
                </c:pt>
              </c:numCache>
            </c:numRef>
          </c:xVal>
          <c:yVal>
            <c:numRef>
              <c:f>main!$R$31:$R$51</c:f>
              <c:numCache>
                <c:formatCode>0.00</c:formatCode>
                <c:ptCount val="21"/>
                <c:pt idx="0">
                  <c:v>40.29</c:v>
                </c:pt>
                <c:pt idx="1">
                  <c:v>40.17</c:v>
                </c:pt>
                <c:pt idx="2">
                  <c:v>40.484999999999999</c:v>
                </c:pt>
                <c:pt idx="3">
                  <c:v>40.58</c:v>
                </c:pt>
                <c:pt idx="4">
                  <c:v>40.1</c:v>
                </c:pt>
                <c:pt idx="5">
                  <c:v>40.590000000000003</c:v>
                </c:pt>
                <c:pt idx="6">
                  <c:v>40.4</c:v>
                </c:pt>
                <c:pt idx="7">
                  <c:v>40.43</c:v>
                </c:pt>
                <c:pt idx="8">
                  <c:v>40.14</c:v>
                </c:pt>
                <c:pt idx="9">
                  <c:v>40.130000000000003</c:v>
                </c:pt>
                <c:pt idx="10">
                  <c:v>39.15</c:v>
                </c:pt>
                <c:pt idx="11">
                  <c:v>40.01</c:v>
                </c:pt>
                <c:pt idx="12">
                  <c:v>39.93</c:v>
                </c:pt>
                <c:pt idx="13">
                  <c:v>40.159999999999997</c:v>
                </c:pt>
                <c:pt idx="14">
                  <c:v>38.700000000000003</c:v>
                </c:pt>
                <c:pt idx="15">
                  <c:v>39.81</c:v>
                </c:pt>
                <c:pt idx="16">
                  <c:v>39.99</c:v>
                </c:pt>
                <c:pt idx="17">
                  <c:v>40.450000000000003</c:v>
                </c:pt>
                <c:pt idx="18">
                  <c:v>40.35</c:v>
                </c:pt>
                <c:pt idx="19">
                  <c:v>40.17</c:v>
                </c:pt>
                <c:pt idx="20">
                  <c:v>40.24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E4-405F-A5D9-95EA10A7B606}"/>
            </c:ext>
          </c:extLst>
        </c:ser>
        <c:ser>
          <c:idx val="2"/>
          <c:order val="2"/>
          <c:tx>
            <c:v>3800m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main!$V$55:$V$75</c:f>
              <c:numCache>
                <c:formatCode>m/d/yyyy</c:formatCode>
                <c:ptCount val="21"/>
                <c:pt idx="0">
                  <c:v>44087</c:v>
                </c:pt>
                <c:pt idx="1">
                  <c:v>44097</c:v>
                </c:pt>
                <c:pt idx="2">
                  <c:v>44107</c:v>
                </c:pt>
                <c:pt idx="3">
                  <c:v>44117</c:v>
                </c:pt>
                <c:pt idx="4">
                  <c:v>44127</c:v>
                </c:pt>
                <c:pt idx="5">
                  <c:v>44137</c:v>
                </c:pt>
                <c:pt idx="6">
                  <c:v>44147</c:v>
                </c:pt>
                <c:pt idx="7">
                  <c:v>44157</c:v>
                </c:pt>
                <c:pt idx="8">
                  <c:v>44167</c:v>
                </c:pt>
                <c:pt idx="9">
                  <c:v>44177</c:v>
                </c:pt>
                <c:pt idx="10">
                  <c:v>44187</c:v>
                </c:pt>
                <c:pt idx="11">
                  <c:v>44197</c:v>
                </c:pt>
                <c:pt idx="12">
                  <c:v>44207</c:v>
                </c:pt>
                <c:pt idx="13">
                  <c:v>44217</c:v>
                </c:pt>
                <c:pt idx="14">
                  <c:v>44227</c:v>
                </c:pt>
                <c:pt idx="15">
                  <c:v>44237</c:v>
                </c:pt>
                <c:pt idx="16">
                  <c:v>44247</c:v>
                </c:pt>
                <c:pt idx="17">
                  <c:v>44257</c:v>
                </c:pt>
                <c:pt idx="18">
                  <c:v>44267</c:v>
                </c:pt>
                <c:pt idx="19">
                  <c:v>44277</c:v>
                </c:pt>
                <c:pt idx="20">
                  <c:v>44287</c:v>
                </c:pt>
              </c:numCache>
            </c:numRef>
          </c:xVal>
          <c:yVal>
            <c:numRef>
              <c:f>main!$R$55:$R$75</c:f>
              <c:numCache>
                <c:formatCode>0.00</c:formatCode>
                <c:ptCount val="21"/>
                <c:pt idx="0">
                  <c:v>40.659999999999997</c:v>
                </c:pt>
                <c:pt idx="1">
                  <c:v>40.57</c:v>
                </c:pt>
                <c:pt idx="2">
                  <c:v>40.594999999999999</c:v>
                </c:pt>
                <c:pt idx="3">
                  <c:v>40.380000000000003</c:v>
                </c:pt>
                <c:pt idx="4">
                  <c:v>40.57</c:v>
                </c:pt>
                <c:pt idx="5">
                  <c:v>40.479999999999997</c:v>
                </c:pt>
                <c:pt idx="6">
                  <c:v>40.44</c:v>
                </c:pt>
                <c:pt idx="7">
                  <c:v>40.49</c:v>
                </c:pt>
                <c:pt idx="8">
                  <c:v>40.53</c:v>
                </c:pt>
                <c:pt idx="9">
                  <c:v>40.33</c:v>
                </c:pt>
                <c:pt idx="10">
                  <c:v>40.08</c:v>
                </c:pt>
                <c:pt idx="11">
                  <c:v>39.980000000000004</c:v>
                </c:pt>
                <c:pt idx="12">
                  <c:v>40.24</c:v>
                </c:pt>
                <c:pt idx="13">
                  <c:v>40.14</c:v>
                </c:pt>
                <c:pt idx="14">
                  <c:v>40.270000000000003</c:v>
                </c:pt>
                <c:pt idx="15">
                  <c:v>40.270000000000003</c:v>
                </c:pt>
                <c:pt idx="16">
                  <c:v>40.369999999999997</c:v>
                </c:pt>
                <c:pt idx="17">
                  <c:v>40.200000000000003</c:v>
                </c:pt>
                <c:pt idx="18">
                  <c:v>40.229999999999997</c:v>
                </c:pt>
                <c:pt idx="19">
                  <c:v>40.47</c:v>
                </c:pt>
                <c:pt idx="20">
                  <c:v>40.450000000000003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E4-405F-A5D9-95EA10A7B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992408"/>
        <c:axId val="559004872"/>
      </c:scatterChart>
      <c:valAx>
        <c:axId val="55899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cup mid</a:t>
                </a:r>
                <a:r>
                  <a:rPr lang="en-AU" baseline="0"/>
                  <a:t> point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004872"/>
        <c:crosses val="autoZero"/>
        <c:crossBetween val="midCat"/>
      </c:valAx>
      <c:valAx>
        <c:axId val="55900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/>
                  <a:t>psu salinity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92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Massflux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205211330755152E-2"/>
          <c:y val="3.3295395295288778E-2"/>
          <c:w val="0.86136163016288991"/>
          <c:h val="0.76306192699635322"/>
        </c:manualLayout>
      </c:layout>
      <c:scatterChart>
        <c:scatterStyle val="lineMarker"/>
        <c:varyColors val="0"/>
        <c:ser>
          <c:idx val="0"/>
          <c:order val="0"/>
          <c:tx>
            <c:v>1000m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main!$V$7:$V$27</c:f>
              <c:numCache>
                <c:formatCode>m/d/yyyy</c:formatCode>
                <c:ptCount val="21"/>
                <c:pt idx="0">
                  <c:v>44087</c:v>
                </c:pt>
                <c:pt idx="1">
                  <c:v>44097</c:v>
                </c:pt>
                <c:pt idx="2">
                  <c:v>44107</c:v>
                </c:pt>
                <c:pt idx="3">
                  <c:v>44117</c:v>
                </c:pt>
                <c:pt idx="4">
                  <c:v>44127</c:v>
                </c:pt>
                <c:pt idx="5">
                  <c:v>44137</c:v>
                </c:pt>
                <c:pt idx="6">
                  <c:v>44147</c:v>
                </c:pt>
                <c:pt idx="7">
                  <c:v>44157</c:v>
                </c:pt>
                <c:pt idx="8">
                  <c:v>44167</c:v>
                </c:pt>
                <c:pt idx="9">
                  <c:v>44177</c:v>
                </c:pt>
                <c:pt idx="10">
                  <c:v>44187</c:v>
                </c:pt>
                <c:pt idx="11">
                  <c:v>44197</c:v>
                </c:pt>
                <c:pt idx="12">
                  <c:v>44207</c:v>
                </c:pt>
                <c:pt idx="13">
                  <c:v>44217</c:v>
                </c:pt>
                <c:pt idx="14">
                  <c:v>44227</c:v>
                </c:pt>
                <c:pt idx="15">
                  <c:v>44237</c:v>
                </c:pt>
                <c:pt idx="16">
                  <c:v>44247</c:v>
                </c:pt>
                <c:pt idx="17">
                  <c:v>44257</c:v>
                </c:pt>
                <c:pt idx="18">
                  <c:v>44267</c:v>
                </c:pt>
                <c:pt idx="19">
                  <c:v>44277</c:v>
                </c:pt>
                <c:pt idx="20">
                  <c:v>44287</c:v>
                </c:pt>
              </c:numCache>
            </c:numRef>
          </c:xVal>
          <c:yVal>
            <c:numRef>
              <c:f>main!$I$7:$I$27</c:f>
              <c:numCache>
                <c:formatCode>0.00</c:formatCode>
                <c:ptCount val="21"/>
                <c:pt idx="0">
                  <c:v>45.634285714285717</c:v>
                </c:pt>
                <c:pt idx="1">
                  <c:v>88.308571428571426</c:v>
                </c:pt>
                <c:pt idx="2">
                  <c:v>70.302857142857135</c:v>
                </c:pt>
                <c:pt idx="3">
                  <c:v>78.214285714285708</c:v>
                </c:pt>
                <c:pt idx="4">
                  <c:v>102.38857142857144</c:v>
                </c:pt>
                <c:pt idx="5">
                  <c:v>88.151428571428568</c:v>
                </c:pt>
                <c:pt idx="6">
                  <c:v>56.082857142857144</c:v>
                </c:pt>
                <c:pt idx="7">
                  <c:v>62.194285714285719</c:v>
                </c:pt>
                <c:pt idx="8">
                  <c:v>21.5</c:v>
                </c:pt>
                <c:pt idx="9">
                  <c:v>41.934285714285707</c:v>
                </c:pt>
                <c:pt idx="10">
                  <c:v>60.031428571428577</c:v>
                </c:pt>
                <c:pt idx="11">
                  <c:v>103.16571428571429</c:v>
                </c:pt>
                <c:pt idx="12">
                  <c:v>134.26285714285714</c:v>
                </c:pt>
                <c:pt idx="13">
                  <c:v>70.854285714285723</c:v>
                </c:pt>
                <c:pt idx="14">
                  <c:v>33.797142857142859</c:v>
                </c:pt>
                <c:pt idx="15">
                  <c:v>12.616428571428571</c:v>
                </c:pt>
                <c:pt idx="16">
                  <c:v>0</c:v>
                </c:pt>
                <c:pt idx="17">
                  <c:v>14.662857142857145</c:v>
                </c:pt>
                <c:pt idx="18">
                  <c:v>23.19142857142857</c:v>
                </c:pt>
                <c:pt idx="19">
                  <c:v>30.399999999999995</c:v>
                </c:pt>
                <c:pt idx="20">
                  <c:v>33.89142857142857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F0-4791-9129-06F038C3A9CA}"/>
            </c:ext>
          </c:extLst>
        </c:ser>
        <c:ser>
          <c:idx val="1"/>
          <c:order val="1"/>
          <c:tx>
            <c:v>2000m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main!$V$31:$V$51</c:f>
              <c:numCache>
                <c:formatCode>m/d/yyyy</c:formatCode>
                <c:ptCount val="21"/>
                <c:pt idx="0">
                  <c:v>44087</c:v>
                </c:pt>
                <c:pt idx="1">
                  <c:v>44097</c:v>
                </c:pt>
                <c:pt idx="2">
                  <c:v>44107</c:v>
                </c:pt>
                <c:pt idx="3">
                  <c:v>44117</c:v>
                </c:pt>
                <c:pt idx="4">
                  <c:v>44127</c:v>
                </c:pt>
                <c:pt idx="5">
                  <c:v>44137</c:v>
                </c:pt>
                <c:pt idx="6">
                  <c:v>44147</c:v>
                </c:pt>
                <c:pt idx="7">
                  <c:v>44157</c:v>
                </c:pt>
                <c:pt idx="8">
                  <c:v>44167</c:v>
                </c:pt>
                <c:pt idx="9">
                  <c:v>44177</c:v>
                </c:pt>
                <c:pt idx="10">
                  <c:v>44187</c:v>
                </c:pt>
                <c:pt idx="11">
                  <c:v>44197</c:v>
                </c:pt>
                <c:pt idx="12">
                  <c:v>44207</c:v>
                </c:pt>
                <c:pt idx="13">
                  <c:v>44217</c:v>
                </c:pt>
                <c:pt idx="14">
                  <c:v>44227</c:v>
                </c:pt>
                <c:pt idx="15">
                  <c:v>44237</c:v>
                </c:pt>
                <c:pt idx="16">
                  <c:v>44247</c:v>
                </c:pt>
                <c:pt idx="17">
                  <c:v>44257</c:v>
                </c:pt>
                <c:pt idx="18">
                  <c:v>44267</c:v>
                </c:pt>
                <c:pt idx="19">
                  <c:v>44277</c:v>
                </c:pt>
                <c:pt idx="20">
                  <c:v>44287</c:v>
                </c:pt>
              </c:numCache>
            </c:numRef>
          </c:xVal>
          <c:yVal>
            <c:numRef>
              <c:f>main!$I$31:$I$51</c:f>
              <c:numCache>
                <c:formatCode>0.00</c:formatCode>
                <c:ptCount val="21"/>
                <c:pt idx="0">
                  <c:v>36.394285714285715</c:v>
                </c:pt>
                <c:pt idx="1">
                  <c:v>57.554285714285712</c:v>
                </c:pt>
                <c:pt idx="2">
                  <c:v>52.76285714285715</c:v>
                </c:pt>
                <c:pt idx="3">
                  <c:v>74.705714285714294</c:v>
                </c:pt>
                <c:pt idx="4">
                  <c:v>91.08</c:v>
                </c:pt>
                <c:pt idx="5">
                  <c:v>74.52</c:v>
                </c:pt>
                <c:pt idx="6">
                  <c:v>82.854285714285723</c:v>
                </c:pt>
                <c:pt idx="7">
                  <c:v>66.531428571428577</c:v>
                </c:pt>
                <c:pt idx="8">
                  <c:v>92.48</c:v>
                </c:pt>
                <c:pt idx="9">
                  <c:v>71.562857142857155</c:v>
                </c:pt>
                <c:pt idx="10">
                  <c:v>252.00285714285715</c:v>
                </c:pt>
                <c:pt idx="11">
                  <c:v>144.93142857142857</c:v>
                </c:pt>
                <c:pt idx="12">
                  <c:v>135.49714285714285</c:v>
                </c:pt>
                <c:pt idx="13">
                  <c:v>120.33599999999998</c:v>
                </c:pt>
                <c:pt idx="14">
                  <c:v>80.828571428571422</c:v>
                </c:pt>
                <c:pt idx="15">
                  <c:v>69.342857142857142</c:v>
                </c:pt>
                <c:pt idx="16">
                  <c:v>49.617142857142866</c:v>
                </c:pt>
                <c:pt idx="17">
                  <c:v>42.637142857142855</c:v>
                </c:pt>
                <c:pt idx="18">
                  <c:v>39.688571428571429</c:v>
                </c:pt>
                <c:pt idx="19">
                  <c:v>41.611428571428576</c:v>
                </c:pt>
                <c:pt idx="20">
                  <c:v>94.291428571428582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F0-4791-9129-06F038C3A9CA}"/>
            </c:ext>
          </c:extLst>
        </c:ser>
        <c:ser>
          <c:idx val="2"/>
          <c:order val="2"/>
          <c:tx>
            <c:v>3800m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main!$V$55:$V$75</c:f>
              <c:numCache>
                <c:formatCode>m/d/yyyy</c:formatCode>
                <c:ptCount val="21"/>
                <c:pt idx="0">
                  <c:v>44087</c:v>
                </c:pt>
                <c:pt idx="1">
                  <c:v>44097</c:v>
                </c:pt>
                <c:pt idx="2">
                  <c:v>44107</c:v>
                </c:pt>
                <c:pt idx="3">
                  <c:v>44117</c:v>
                </c:pt>
                <c:pt idx="4">
                  <c:v>44127</c:v>
                </c:pt>
                <c:pt idx="5">
                  <c:v>44137</c:v>
                </c:pt>
                <c:pt idx="6">
                  <c:v>44147</c:v>
                </c:pt>
                <c:pt idx="7">
                  <c:v>44157</c:v>
                </c:pt>
                <c:pt idx="8">
                  <c:v>44167</c:v>
                </c:pt>
                <c:pt idx="9">
                  <c:v>44177</c:v>
                </c:pt>
                <c:pt idx="10">
                  <c:v>44187</c:v>
                </c:pt>
                <c:pt idx="11">
                  <c:v>44197</c:v>
                </c:pt>
                <c:pt idx="12">
                  <c:v>44207</c:v>
                </c:pt>
                <c:pt idx="13">
                  <c:v>44217</c:v>
                </c:pt>
                <c:pt idx="14">
                  <c:v>44227</c:v>
                </c:pt>
                <c:pt idx="15">
                  <c:v>44237</c:v>
                </c:pt>
                <c:pt idx="16">
                  <c:v>44247</c:v>
                </c:pt>
                <c:pt idx="17">
                  <c:v>44257</c:v>
                </c:pt>
                <c:pt idx="18">
                  <c:v>44267</c:v>
                </c:pt>
                <c:pt idx="19">
                  <c:v>44277</c:v>
                </c:pt>
                <c:pt idx="20">
                  <c:v>44287</c:v>
                </c:pt>
              </c:numCache>
            </c:numRef>
          </c:xVal>
          <c:yVal>
            <c:numRef>
              <c:f>main!$I$55:$I$75</c:f>
              <c:numCache>
                <c:formatCode>0.00</c:formatCode>
                <c:ptCount val="21"/>
                <c:pt idx="0">
                  <c:v>36.622857142857143</c:v>
                </c:pt>
                <c:pt idx="1">
                  <c:v>36.45428571428571</c:v>
                </c:pt>
                <c:pt idx="2">
                  <c:v>50.3</c:v>
                </c:pt>
                <c:pt idx="3">
                  <c:v>51.174285714285716</c:v>
                </c:pt>
                <c:pt idx="4">
                  <c:v>64.305714285714288</c:v>
                </c:pt>
                <c:pt idx="5">
                  <c:v>65.257142857142853</c:v>
                </c:pt>
                <c:pt idx="6">
                  <c:v>65.802857142857135</c:v>
                </c:pt>
                <c:pt idx="7">
                  <c:v>57.751428571428576</c:v>
                </c:pt>
                <c:pt idx="8">
                  <c:v>58.982857142857142</c:v>
                </c:pt>
                <c:pt idx="9">
                  <c:v>65.742857142857133</c:v>
                </c:pt>
                <c:pt idx="10">
                  <c:v>96.765714285714282</c:v>
                </c:pt>
                <c:pt idx="11">
                  <c:v>141.94285714285712</c:v>
                </c:pt>
                <c:pt idx="12">
                  <c:v>105.95714285714287</c:v>
                </c:pt>
                <c:pt idx="13">
                  <c:v>114.78571428571429</c:v>
                </c:pt>
                <c:pt idx="14">
                  <c:v>107.81428571428572</c:v>
                </c:pt>
                <c:pt idx="15">
                  <c:v>86.665714285714287</c:v>
                </c:pt>
                <c:pt idx="16">
                  <c:v>56.002857142857138</c:v>
                </c:pt>
                <c:pt idx="17">
                  <c:v>70.377142857142857</c:v>
                </c:pt>
                <c:pt idx="18">
                  <c:v>48.477142857142852</c:v>
                </c:pt>
                <c:pt idx="19">
                  <c:v>50.297142857142852</c:v>
                </c:pt>
                <c:pt idx="20">
                  <c:v>66.908571428571435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F0-4791-9129-06F038C3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992408"/>
        <c:axId val="559004872"/>
      </c:scatterChart>
      <c:valAx>
        <c:axId val="55899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cup mid</a:t>
                </a:r>
                <a:r>
                  <a:rPr lang="en-AU" baseline="0"/>
                  <a:t> point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004872"/>
        <c:crosses val="autoZero"/>
        <c:crossBetween val="midCat"/>
      </c:valAx>
      <c:valAx>
        <c:axId val="55900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Massflux mg m-2 d-1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92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AU"/>
              <a:t>SAZ22 %PIC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47_1000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main!$V$7:$V$27</c:f>
              <c:numCache>
                <c:formatCode>m/d/yyyy</c:formatCode>
                <c:ptCount val="21"/>
                <c:pt idx="0">
                  <c:v>44087</c:v>
                </c:pt>
                <c:pt idx="1">
                  <c:v>44097</c:v>
                </c:pt>
                <c:pt idx="2">
                  <c:v>44107</c:v>
                </c:pt>
                <c:pt idx="3">
                  <c:v>44117</c:v>
                </c:pt>
                <c:pt idx="4">
                  <c:v>44127</c:v>
                </c:pt>
                <c:pt idx="5">
                  <c:v>44137</c:v>
                </c:pt>
                <c:pt idx="6">
                  <c:v>44147</c:v>
                </c:pt>
                <c:pt idx="7">
                  <c:v>44157</c:v>
                </c:pt>
                <c:pt idx="8">
                  <c:v>44167</c:v>
                </c:pt>
                <c:pt idx="9">
                  <c:v>44177</c:v>
                </c:pt>
                <c:pt idx="10">
                  <c:v>44187</c:v>
                </c:pt>
                <c:pt idx="11">
                  <c:v>44197</c:v>
                </c:pt>
                <c:pt idx="12">
                  <c:v>44207</c:v>
                </c:pt>
                <c:pt idx="13">
                  <c:v>44217</c:v>
                </c:pt>
                <c:pt idx="14">
                  <c:v>44227</c:v>
                </c:pt>
                <c:pt idx="15">
                  <c:v>44237</c:v>
                </c:pt>
                <c:pt idx="16">
                  <c:v>44247</c:v>
                </c:pt>
                <c:pt idx="17">
                  <c:v>44257</c:v>
                </c:pt>
                <c:pt idx="18">
                  <c:v>44267</c:v>
                </c:pt>
                <c:pt idx="19">
                  <c:v>44277</c:v>
                </c:pt>
                <c:pt idx="20">
                  <c:v>44287</c:v>
                </c:pt>
              </c:numCache>
            </c:numRef>
          </c:xVal>
          <c:yVal>
            <c:numRef>
              <c:f>main!$AG$7:$AG$27</c:f>
              <c:numCache>
                <c:formatCode>0.00</c:formatCode>
                <c:ptCount val="21"/>
                <c:pt idx="0">
                  <c:v>7.3521921825147283</c:v>
                </c:pt>
                <c:pt idx="1">
                  <c:v>7.5960626374110687</c:v>
                </c:pt>
                <c:pt idx="2">
                  <c:v>7.977178115217459</c:v>
                </c:pt>
                <c:pt idx="3">
                  <c:v>7.3697056893568957</c:v>
                </c:pt>
                <c:pt idx="4">
                  <c:v>8.1591551830078703</c:v>
                </c:pt>
                <c:pt idx="5">
                  <c:v>8.4142062537059452</c:v>
                </c:pt>
                <c:pt idx="6">
                  <c:v>8.1884333042874893</c:v>
                </c:pt>
                <c:pt idx="7">
                  <c:v>8.0816439665593425</c:v>
                </c:pt>
                <c:pt idx="8">
                  <c:v>7.8896693771056983</c:v>
                </c:pt>
                <c:pt idx="9">
                  <c:v>7.6294581270943178</c:v>
                </c:pt>
                <c:pt idx="10">
                  <c:v>6.4583430924810212</c:v>
                </c:pt>
                <c:pt idx="11">
                  <c:v>7.9209178470227322</c:v>
                </c:pt>
                <c:pt idx="12">
                  <c:v>6.8842946247480175</c:v>
                </c:pt>
                <c:pt idx="13">
                  <c:v>7.6503553176949799</c:v>
                </c:pt>
                <c:pt idx="14">
                  <c:v>8.5633376287460194</c:v>
                </c:pt>
                <c:pt idx="15">
                  <c:v>7.6576331566137705</c:v>
                </c:pt>
                <c:pt idx="16">
                  <c:v>0</c:v>
                </c:pt>
                <c:pt idx="17">
                  <c:v>7.779941943232819</c:v>
                </c:pt>
                <c:pt idx="18">
                  <c:v>8.1351490235800217</c:v>
                </c:pt>
                <c:pt idx="19">
                  <c:v>7.4870548128482373</c:v>
                </c:pt>
                <c:pt idx="20">
                  <c:v>7.0945923627258454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A8-4062-9EE7-3A6849D1D6D2}"/>
            </c:ext>
          </c:extLst>
        </c:ser>
        <c:ser>
          <c:idx val="1"/>
          <c:order val="1"/>
          <c:tx>
            <c:v>47_2000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main!$V$31:$V$51</c:f>
              <c:numCache>
                <c:formatCode>m/d/yyyy</c:formatCode>
                <c:ptCount val="21"/>
                <c:pt idx="0">
                  <c:v>44087</c:v>
                </c:pt>
                <c:pt idx="1">
                  <c:v>44097</c:v>
                </c:pt>
                <c:pt idx="2">
                  <c:v>44107</c:v>
                </c:pt>
                <c:pt idx="3">
                  <c:v>44117</c:v>
                </c:pt>
                <c:pt idx="4">
                  <c:v>44127</c:v>
                </c:pt>
                <c:pt idx="5">
                  <c:v>44137</c:v>
                </c:pt>
                <c:pt idx="6">
                  <c:v>44147</c:v>
                </c:pt>
                <c:pt idx="7">
                  <c:v>44157</c:v>
                </c:pt>
                <c:pt idx="8">
                  <c:v>44167</c:v>
                </c:pt>
                <c:pt idx="9">
                  <c:v>44177</c:v>
                </c:pt>
                <c:pt idx="10">
                  <c:v>44187</c:v>
                </c:pt>
                <c:pt idx="11">
                  <c:v>44197</c:v>
                </c:pt>
                <c:pt idx="12">
                  <c:v>44207</c:v>
                </c:pt>
                <c:pt idx="13">
                  <c:v>44217</c:v>
                </c:pt>
                <c:pt idx="14">
                  <c:v>44227</c:v>
                </c:pt>
                <c:pt idx="15">
                  <c:v>44237</c:v>
                </c:pt>
                <c:pt idx="16">
                  <c:v>44247</c:v>
                </c:pt>
                <c:pt idx="17">
                  <c:v>44257</c:v>
                </c:pt>
                <c:pt idx="18">
                  <c:v>44267</c:v>
                </c:pt>
                <c:pt idx="19">
                  <c:v>44277</c:v>
                </c:pt>
                <c:pt idx="20">
                  <c:v>44287</c:v>
                </c:pt>
              </c:numCache>
            </c:numRef>
          </c:xVal>
          <c:yVal>
            <c:numRef>
              <c:f>main!$AG$31:$AG$51</c:f>
              <c:numCache>
                <c:formatCode>0.00</c:formatCode>
                <c:ptCount val="21"/>
                <c:pt idx="0">
                  <c:v>7.9147083246043897</c:v>
                </c:pt>
                <c:pt idx="1">
                  <c:v>7.5479352572287466</c:v>
                </c:pt>
                <c:pt idx="2">
                  <c:v>7.7855910162711615</c:v>
                </c:pt>
                <c:pt idx="3">
                  <c:v>8.13736207039255</c:v>
                </c:pt>
                <c:pt idx="4">
                  <c:v>8.2543679901693494</c:v>
                </c:pt>
                <c:pt idx="5">
                  <c:v>8.5723188177566705</c:v>
                </c:pt>
                <c:pt idx="6">
                  <c:v>8.6022487407991353</c:v>
                </c:pt>
                <c:pt idx="7">
                  <c:v>8.3954522920401793</c:v>
                </c:pt>
                <c:pt idx="8">
                  <c:v>8.1711739043214564</c:v>
                </c:pt>
                <c:pt idx="9">
                  <c:v>7.862917690336932</c:v>
                </c:pt>
                <c:pt idx="10">
                  <c:v>6.3870736411834876</c:v>
                </c:pt>
                <c:pt idx="11">
                  <c:v>7.4336451788744293</c:v>
                </c:pt>
                <c:pt idx="12">
                  <c:v>6.9740084454360813</c:v>
                </c:pt>
                <c:pt idx="13">
                  <c:v>7.6459570277385618</c:v>
                </c:pt>
                <c:pt idx="14">
                  <c:v>8.7289697770881212</c:v>
                </c:pt>
                <c:pt idx="15">
                  <c:v>8.703442078206475</c:v>
                </c:pt>
                <c:pt idx="16">
                  <c:v>8.5262190592560767</c:v>
                </c:pt>
                <c:pt idx="17">
                  <c:v>8.771962860514865</c:v>
                </c:pt>
                <c:pt idx="18">
                  <c:v>8.4955529868252171</c:v>
                </c:pt>
                <c:pt idx="19">
                  <c:v>7.6533423792676736</c:v>
                </c:pt>
                <c:pt idx="20">
                  <c:v>7.3323890809822494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A8-4062-9EE7-3A6849D1D6D2}"/>
            </c:ext>
          </c:extLst>
        </c:ser>
        <c:ser>
          <c:idx val="3"/>
          <c:order val="2"/>
          <c:tx>
            <c:v>47_3800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  <a:prstDash val="solid"/>
              </a:ln>
            </c:spPr>
          </c:marker>
          <c:xVal>
            <c:numRef>
              <c:f>main!$V$55:$V$75</c:f>
              <c:numCache>
                <c:formatCode>m/d/yyyy</c:formatCode>
                <c:ptCount val="21"/>
                <c:pt idx="0">
                  <c:v>44087</c:v>
                </c:pt>
                <c:pt idx="1">
                  <c:v>44097</c:v>
                </c:pt>
                <c:pt idx="2">
                  <c:v>44107</c:v>
                </c:pt>
                <c:pt idx="3">
                  <c:v>44117</c:v>
                </c:pt>
                <c:pt idx="4">
                  <c:v>44127</c:v>
                </c:pt>
                <c:pt idx="5">
                  <c:v>44137</c:v>
                </c:pt>
                <c:pt idx="6">
                  <c:v>44147</c:v>
                </c:pt>
                <c:pt idx="7">
                  <c:v>44157</c:v>
                </c:pt>
                <c:pt idx="8">
                  <c:v>44167</c:v>
                </c:pt>
                <c:pt idx="9">
                  <c:v>44177</c:v>
                </c:pt>
                <c:pt idx="10">
                  <c:v>44187</c:v>
                </c:pt>
                <c:pt idx="11">
                  <c:v>44197</c:v>
                </c:pt>
                <c:pt idx="12">
                  <c:v>44207</c:v>
                </c:pt>
                <c:pt idx="13">
                  <c:v>44217</c:v>
                </c:pt>
                <c:pt idx="14">
                  <c:v>44227</c:v>
                </c:pt>
                <c:pt idx="15">
                  <c:v>44237</c:v>
                </c:pt>
                <c:pt idx="16">
                  <c:v>44247</c:v>
                </c:pt>
                <c:pt idx="17">
                  <c:v>44257</c:v>
                </c:pt>
                <c:pt idx="18">
                  <c:v>44267</c:v>
                </c:pt>
                <c:pt idx="19">
                  <c:v>44277</c:v>
                </c:pt>
                <c:pt idx="20">
                  <c:v>44287</c:v>
                </c:pt>
              </c:numCache>
            </c:numRef>
          </c:xVal>
          <c:yVal>
            <c:numRef>
              <c:f>main!$AG$55:$AG$75</c:f>
              <c:numCache>
                <c:formatCode>0.00</c:formatCode>
                <c:ptCount val="21"/>
                <c:pt idx="0">
                  <c:v>8.2288711211085257</c:v>
                </c:pt>
                <c:pt idx="1">
                  <c:v>8.1849831041673795</c:v>
                </c:pt>
                <c:pt idx="2">
                  <c:v>8.465404237715914</c:v>
                </c:pt>
                <c:pt idx="3">
                  <c:v>8.6808191355478286</c:v>
                </c:pt>
                <c:pt idx="4">
                  <c:v>8.4586971536908013</c:v>
                </c:pt>
                <c:pt idx="5">
                  <c:v>8.7566550321895669</c:v>
                </c:pt>
                <c:pt idx="6">
                  <c:v>8.7619464465254993</c:v>
                </c:pt>
                <c:pt idx="7">
                  <c:v>8.72381984737466</c:v>
                </c:pt>
                <c:pt idx="8">
                  <c:v>8.6945856293851769</c:v>
                </c:pt>
                <c:pt idx="9">
                  <c:v>8.8204629973929727</c:v>
                </c:pt>
                <c:pt idx="10">
                  <c:v>8.0742852575083575</c:v>
                </c:pt>
                <c:pt idx="11">
                  <c:v>7.3356827157533395</c:v>
                </c:pt>
                <c:pt idx="12">
                  <c:v>7.9408280103727868</c:v>
                </c:pt>
                <c:pt idx="13">
                  <c:v>7.8890827904082546</c:v>
                </c:pt>
                <c:pt idx="14">
                  <c:v>8.099490361630286</c:v>
                </c:pt>
                <c:pt idx="15">
                  <c:v>8.9135955065241532</c:v>
                </c:pt>
                <c:pt idx="16">
                  <c:v>8.9031730863085325</c:v>
                </c:pt>
                <c:pt idx="17">
                  <c:v>8.8597839788926738</c:v>
                </c:pt>
                <c:pt idx="18">
                  <c:v>8.8731211590108803</c:v>
                </c:pt>
                <c:pt idx="19">
                  <c:v>8.8350268808378356</c:v>
                </c:pt>
                <c:pt idx="20">
                  <c:v>8.8532943915444378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A8-4062-9EE7-3A6849D1D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142344"/>
        <c:axId val="-2091133512"/>
      </c:scatterChart>
      <c:valAx>
        <c:axId val="-2091142344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Midpoint time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1133512"/>
        <c:crosses val="autoZero"/>
        <c:crossBetween val="midCat"/>
      </c:valAx>
      <c:valAx>
        <c:axId val="-209113351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%PIC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114234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094136813020065"/>
          <c:y val="0.54778677140881904"/>
          <c:w val="8.4618613342703361E-2"/>
          <c:h val="0.18881167826049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7.xml"/><Relationship Id="rId7" Type="http://schemas.openxmlformats.org/officeDocument/2006/relationships/image" Target="../media/image2.png"/><Relationship Id="rId12" Type="http://schemas.openxmlformats.org/officeDocument/2006/relationships/chart" Target="../charts/chart12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ustomXml" Target="../ink/ink2.xml"/><Relationship Id="rId11" Type="http://schemas.openxmlformats.org/officeDocument/2006/relationships/chart" Target="../charts/chart11.xml"/><Relationship Id="rId5" Type="http://schemas.openxmlformats.org/officeDocument/2006/relationships/image" Target="../media/image1.png"/><Relationship Id="rId10" Type="http://schemas.openxmlformats.org/officeDocument/2006/relationships/chart" Target="../charts/chart10.xml"/><Relationship Id="rId4" Type="http://schemas.openxmlformats.org/officeDocument/2006/relationships/customXml" Target="../ink/ink1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609599</xdr:colOff>
      <xdr:row>12</xdr:row>
      <xdr:rowOff>0</xdr:rowOff>
    </xdr:from>
    <xdr:to>
      <xdr:col>51</xdr:col>
      <xdr:colOff>352424</xdr:colOff>
      <xdr:row>20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73B8CA-B873-4519-AC5C-15E62D30CF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361950</xdr:colOff>
      <xdr:row>3</xdr:row>
      <xdr:rowOff>0</xdr:rowOff>
    </xdr:from>
    <xdr:to>
      <xdr:col>27</xdr:col>
      <xdr:colOff>421482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970195-1FDA-43A9-8A16-70A020708B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24</xdr:row>
      <xdr:rowOff>0</xdr:rowOff>
    </xdr:from>
    <xdr:to>
      <xdr:col>28</xdr:col>
      <xdr:colOff>59532</xdr:colOff>
      <xdr:row>43</xdr:row>
      <xdr:rowOff>2381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6BDFC3-38D4-4FEF-B81C-FBC9D75CBC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31</xdr:row>
      <xdr:rowOff>0</xdr:rowOff>
    </xdr:from>
    <xdr:to>
      <xdr:col>36</xdr:col>
      <xdr:colOff>44273</xdr:colOff>
      <xdr:row>53</xdr:row>
      <xdr:rowOff>21343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B7E88A-B510-4E0B-859A-BE3E3B6BAF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424090</xdr:colOff>
      <xdr:row>23</xdr:row>
      <xdr:rowOff>181203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11911C-B950-4163-81A9-3816567F60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25</xdr:col>
      <xdr:colOff>425905</xdr:colOff>
      <xdr:row>24</xdr:row>
      <xdr:rowOff>6124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50F4E5-B7D2-4535-9316-D859238BCD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0</xdr:row>
      <xdr:rowOff>0</xdr:rowOff>
    </xdr:from>
    <xdr:to>
      <xdr:col>38</xdr:col>
      <xdr:colOff>425905</xdr:colOff>
      <xdr:row>24</xdr:row>
      <xdr:rowOff>6125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F371BD-6C1D-46AA-8B2F-8DA636CB25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34</xdr:col>
      <xdr:colOff>398040</xdr:colOff>
      <xdr:row>10</xdr:row>
      <xdr:rowOff>150960</xdr:rowOff>
    </xdr:from>
    <xdr:to>
      <xdr:col>35</xdr:col>
      <xdr:colOff>49800</xdr:colOff>
      <xdr:row>11</xdr:row>
      <xdr:rowOff>182220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291541BA-B1F3-4B52-B7DC-30DCCF0D956B}"/>
                </a:ext>
              </a:extLst>
            </xdr14:cNvPr>
            <xdr14:cNvContentPartPr/>
          </xdr14:nvContentPartPr>
          <xdr14:nvPr macro=""/>
          <xdr14:xfrm>
            <a:off x="21124440" y="2055960"/>
            <a:ext cx="261360" cy="221760"/>
          </xdr14:xfrm>
        </xdr:contentPart>
      </mc:Choice>
      <mc:Fallback xmlns:r="http://schemas.openxmlformats.org/officeDocument/2006/relationships"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291541BA-B1F3-4B52-B7DC-30DCCF0D956B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1115800" y="2047320"/>
              <a:ext cx="279000" cy="239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369465</xdr:colOff>
      <xdr:row>17</xdr:row>
      <xdr:rowOff>75630</xdr:rowOff>
    </xdr:from>
    <xdr:to>
      <xdr:col>35</xdr:col>
      <xdr:colOff>39225</xdr:colOff>
      <xdr:row>18</xdr:row>
      <xdr:rowOff>113010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9C9AFBDC-C5E4-4E2D-991C-2A47811AB1C8}"/>
                </a:ext>
              </a:extLst>
            </xdr14:cNvPr>
            <xdr14:cNvContentPartPr/>
          </xdr14:nvContentPartPr>
          <xdr14:nvPr macro=""/>
          <xdr14:xfrm>
            <a:off x="21095865" y="3314130"/>
            <a:ext cx="279360" cy="227880"/>
          </xdr14:xfrm>
        </xdr:contentPart>
      </mc:Choice>
      <mc:Fallback xmlns:r="http://schemas.openxmlformats.org/officeDocument/2006/relationships"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9C9AFBDC-C5E4-4E2D-991C-2A47811AB1C8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21086865" y="3305130"/>
              <a:ext cx="297000" cy="2455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0</xdr:colOff>
      <xdr:row>25</xdr:row>
      <xdr:rowOff>0</xdr:rowOff>
    </xdr:from>
    <xdr:to>
      <xdr:col>12</xdr:col>
      <xdr:colOff>424090</xdr:colOff>
      <xdr:row>48</xdr:row>
      <xdr:rowOff>181203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720CB3F-63DC-49E1-B26F-5CD90A5648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426357</xdr:colOff>
      <xdr:row>25</xdr:row>
      <xdr:rowOff>158750</xdr:rowOff>
    </xdr:from>
    <xdr:to>
      <xdr:col>25</xdr:col>
      <xdr:colOff>551541</xdr:colOff>
      <xdr:row>48</xdr:row>
      <xdr:rowOff>68943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8AF1D3A-BCBB-4D57-93EE-888B25A4F1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585107</xdr:colOff>
      <xdr:row>25</xdr:row>
      <xdr:rowOff>40821</xdr:rowOff>
    </xdr:from>
    <xdr:to>
      <xdr:col>39</xdr:col>
      <xdr:colOff>97972</xdr:colOff>
      <xdr:row>47</xdr:row>
      <xdr:rowOff>132443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3C23FC4-DFB1-4908-A375-5B29AC0218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13</xdr:col>
      <xdr:colOff>125184</xdr:colOff>
      <xdr:row>73</xdr:row>
      <xdr:rowOff>100693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BD7A2E4-A02A-4FE0-8563-8C6773D78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235857</xdr:colOff>
      <xdr:row>50</xdr:row>
      <xdr:rowOff>136071</xdr:rowOff>
    </xdr:from>
    <xdr:to>
      <xdr:col>26</xdr:col>
      <xdr:colOff>361040</xdr:colOff>
      <xdr:row>73</xdr:row>
      <xdr:rowOff>46264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75597DA-8FA0-4BCB-B0A6-4FDD90360D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7T22:55:33.111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482 30,'0'-1,"-1"0,1 0,-1 0,1-1,-1 1,0 0,1 0,-1 0,0 0,0 0,0 0,0 1,0-1,0 0,0 0,0 0,0 1,0-1,0 1,0-1,0 1,-1-1,1 1,0 0,0 0,-1-1,-1 1,-41-5,39 5,-21-2,-1 1,1 1,-36 5,52-3,0 0,0 1,1 0,-1 1,1 0,-1 0,1 1,0 0,1 0,-1 1,-12 12,5-2,2 0,-1 1,2 0,0 1,1 1,-12 27,18-35,1-1,1 1,0 0,1 0,0 0,0 1,1-1,1 1,0-1,1 1,0-1,0 1,4 20,-2-27,0 1,1-1,0 0,-1 1,1-1,1-1,-1 1,1 0,0-1,0 0,0 0,1 0,-1 0,6 2,11 8,1-2,25 11,8 4,-39-17,1 0,0-1,0-1,1-1,0-1,0 0,0-1,1-1,0-1,0 0,19-1,-30-2,18 1,0-2,1 0,-1-2,42-9,-63 11,1-1,-1 1,0-1,1 0,-1-1,0 1,-1-1,1 0,0 0,-1-1,0 1,0-1,0 0,0 0,0-1,-1 1,0-1,0 1,0-1,0 0,-1 0,0 0,0-1,0 1,-1 0,0-1,0 1,0-8,0-2,0 0,-2-1,0 1,-1 0,0 0,-1 0,-1 0,0 1,-1-1,-1 1,-10-20,1 8,-26-36,-15-26,31 48,11 24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7T22:55:36.421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429 1,'-88'-1,"-101"3,183-2,-1 1,1 0,-1 0,1 1,-1-1,1 1,0 1,0-1,0 1,0 0,0 1,1-1,-1 1,1 0,0 1,0-1,0 1,-4 6,4-4,0 1,1 0,0 0,1 0,-1 0,2 0,-1 1,1 0,0-1,1 1,0 0,1 16,-1-1,2 0,1-1,8 40,-6-52,-1 0,1-1,1 1,0-1,0 0,1 0,0 0,1-1,12 13,-1-4,0-2,1 0,0-1,2-1,-1-1,2 0,0-2,0-1,1 0,0-2,25 6,0-1,-23-5,1-1,43 5,-61-12,1 1,0-1,-1-1,1 1,-1-2,1 1,-1-1,1 0,-1-1,0 0,0 0,9-6,-6 3,-1 0,0-1,-1 0,1-1,-1 0,-1 0,1-1,-1 0,-1 0,0-1,0 0,-1-1,6-12,-9 14,0 0,-1 0,0 0,0 0,-1 0,0-1,-1 1,0 0,0-1,-1 1,0 0,-1 0,0-1,0 1,-1 1,0-1,-7-14,-5-2,-2 1,0 1,-1 0,-1 1,-1 1,-37-29,19 15,17 16,1 5</inkml:trace>
  <inkml:trace contextRef="#ctx0" brushRef="#br0" timeOffset="363.41">482 27,'0'0</inkml:trace>
  <inkml:trace contextRef="#ctx0" brushRef="#br0" timeOffset="1906.75">482 609,'0'5,"0"1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53202-A5EA-4781-988D-EB6CE0EA4679}">
  <dimension ref="A1:L42"/>
  <sheetViews>
    <sheetView zoomScale="70" zoomScaleNormal="70" workbookViewId="0">
      <selection activeCell="R3" sqref="R3"/>
    </sheetView>
  </sheetViews>
  <sheetFormatPr defaultColWidth="10.140625" defaultRowHeight="15"/>
  <cols>
    <col min="1" max="1" width="13.140625" customWidth="1"/>
    <col min="2" max="2" width="9.85546875" customWidth="1"/>
    <col min="3" max="3" width="9.140625" customWidth="1"/>
    <col min="4" max="4" width="12.42578125" customWidth="1"/>
    <col min="5" max="5" width="13" customWidth="1"/>
    <col min="6" max="6" width="10.85546875" customWidth="1"/>
    <col min="7" max="7" width="9.5703125" customWidth="1"/>
    <col min="8" max="8" width="12.5703125" customWidth="1"/>
    <col min="9" max="9" width="13.85546875" customWidth="1"/>
    <col min="10" max="10" width="10.42578125" customWidth="1"/>
    <col min="11" max="11" width="10.85546875" customWidth="1"/>
    <col min="12" max="12" width="9.140625" customWidth="1"/>
  </cols>
  <sheetData>
    <row r="1" spans="1:12" ht="39.6" customHeight="1">
      <c r="A1" s="93" t="s">
        <v>1736</v>
      </c>
      <c r="B1" s="94" t="s">
        <v>105</v>
      </c>
      <c r="C1" s="95" t="s">
        <v>106</v>
      </c>
      <c r="D1" s="96" t="s">
        <v>107</v>
      </c>
      <c r="E1" s="93" t="s">
        <v>1736</v>
      </c>
      <c r="F1" s="97" t="s">
        <v>108</v>
      </c>
      <c r="G1" s="95" t="s">
        <v>106</v>
      </c>
      <c r="H1" s="96" t="s">
        <v>107</v>
      </c>
      <c r="I1" s="93" t="s">
        <v>1736</v>
      </c>
      <c r="J1" s="97" t="s">
        <v>109</v>
      </c>
      <c r="K1" s="95" t="s">
        <v>106</v>
      </c>
      <c r="L1" s="96" t="s">
        <v>107</v>
      </c>
    </row>
    <row r="2" spans="1:12" ht="39.6" customHeight="1">
      <c r="A2" s="93" t="s">
        <v>1736</v>
      </c>
      <c r="B2" s="94" t="s">
        <v>105</v>
      </c>
      <c r="C2" s="95" t="s">
        <v>110</v>
      </c>
      <c r="D2" s="96" t="s">
        <v>107</v>
      </c>
      <c r="E2" s="93" t="s">
        <v>1736</v>
      </c>
      <c r="F2" s="97" t="s">
        <v>108</v>
      </c>
      <c r="G2" s="95" t="s">
        <v>110</v>
      </c>
      <c r="H2" s="96" t="s">
        <v>107</v>
      </c>
      <c r="I2" s="93" t="s">
        <v>1736</v>
      </c>
      <c r="J2" s="97" t="s">
        <v>109</v>
      </c>
      <c r="K2" s="95" t="s">
        <v>110</v>
      </c>
      <c r="L2" s="96" t="s">
        <v>107</v>
      </c>
    </row>
    <row r="3" spans="1:12" ht="39.6" customHeight="1">
      <c r="A3" s="93" t="s">
        <v>1736</v>
      </c>
      <c r="B3" s="94" t="s">
        <v>105</v>
      </c>
      <c r="C3" s="95" t="s">
        <v>111</v>
      </c>
      <c r="D3" s="96" t="s">
        <v>107</v>
      </c>
      <c r="E3" s="93" t="s">
        <v>1736</v>
      </c>
      <c r="F3" s="97" t="s">
        <v>108</v>
      </c>
      <c r="G3" s="95" t="s">
        <v>111</v>
      </c>
      <c r="H3" s="96" t="s">
        <v>107</v>
      </c>
      <c r="I3" s="93" t="s">
        <v>1736</v>
      </c>
      <c r="J3" s="97" t="s">
        <v>109</v>
      </c>
      <c r="K3" s="95" t="s">
        <v>111</v>
      </c>
      <c r="L3" s="96" t="s">
        <v>107</v>
      </c>
    </row>
    <row r="4" spans="1:12" ht="39.6" customHeight="1">
      <c r="A4" s="93" t="s">
        <v>1736</v>
      </c>
      <c r="B4" s="94" t="s">
        <v>105</v>
      </c>
      <c r="C4" s="95" t="s">
        <v>112</v>
      </c>
      <c r="D4" s="96" t="s">
        <v>107</v>
      </c>
      <c r="E4" s="93" t="s">
        <v>1736</v>
      </c>
      <c r="F4" s="97" t="s">
        <v>108</v>
      </c>
      <c r="G4" s="95" t="s">
        <v>112</v>
      </c>
      <c r="H4" s="96" t="s">
        <v>107</v>
      </c>
      <c r="I4" s="93" t="s">
        <v>1736</v>
      </c>
      <c r="J4" s="97" t="s">
        <v>109</v>
      </c>
      <c r="K4" s="95" t="s">
        <v>112</v>
      </c>
      <c r="L4" s="96" t="s">
        <v>107</v>
      </c>
    </row>
    <row r="5" spans="1:12" ht="39.6" customHeight="1">
      <c r="A5" s="93" t="s">
        <v>1736</v>
      </c>
      <c r="B5" s="94" t="s">
        <v>105</v>
      </c>
      <c r="C5" s="95" t="s">
        <v>113</v>
      </c>
      <c r="D5" s="96" t="s">
        <v>107</v>
      </c>
      <c r="E5" s="93" t="s">
        <v>1736</v>
      </c>
      <c r="F5" s="97" t="s">
        <v>108</v>
      </c>
      <c r="G5" s="95" t="s">
        <v>113</v>
      </c>
      <c r="H5" s="96" t="s">
        <v>107</v>
      </c>
      <c r="I5" s="93" t="s">
        <v>1736</v>
      </c>
      <c r="J5" s="97" t="s">
        <v>109</v>
      </c>
      <c r="K5" s="95" t="s">
        <v>113</v>
      </c>
      <c r="L5" s="96" t="s">
        <v>107</v>
      </c>
    </row>
    <row r="6" spans="1:12" ht="39.6" customHeight="1">
      <c r="A6" s="93" t="s">
        <v>1736</v>
      </c>
      <c r="B6" s="94" t="s">
        <v>105</v>
      </c>
      <c r="C6" s="95" t="s">
        <v>114</v>
      </c>
      <c r="D6" s="96" t="s">
        <v>107</v>
      </c>
      <c r="E6" s="93" t="s">
        <v>1736</v>
      </c>
      <c r="F6" s="97" t="s">
        <v>108</v>
      </c>
      <c r="G6" s="95" t="s">
        <v>114</v>
      </c>
      <c r="H6" s="96" t="s">
        <v>107</v>
      </c>
      <c r="I6" s="93" t="s">
        <v>1736</v>
      </c>
      <c r="J6" s="97" t="s">
        <v>109</v>
      </c>
      <c r="K6" s="95" t="s">
        <v>114</v>
      </c>
      <c r="L6" s="96" t="s">
        <v>107</v>
      </c>
    </row>
    <row r="7" spans="1:12" ht="39.6" customHeight="1">
      <c r="A7" s="93" t="s">
        <v>1736</v>
      </c>
      <c r="B7" s="94" t="s">
        <v>105</v>
      </c>
      <c r="C7" s="95" t="s">
        <v>115</v>
      </c>
      <c r="D7" s="96" t="s">
        <v>107</v>
      </c>
      <c r="E7" s="93" t="s">
        <v>1736</v>
      </c>
      <c r="F7" s="97" t="s">
        <v>108</v>
      </c>
      <c r="G7" s="95" t="s">
        <v>115</v>
      </c>
      <c r="H7" s="96" t="s">
        <v>107</v>
      </c>
      <c r="I7" s="93" t="s">
        <v>1736</v>
      </c>
      <c r="J7" s="97" t="s">
        <v>109</v>
      </c>
      <c r="K7" s="95" t="s">
        <v>115</v>
      </c>
      <c r="L7" s="96" t="s">
        <v>107</v>
      </c>
    </row>
    <row r="8" spans="1:12" ht="39.6" customHeight="1">
      <c r="A8" s="93" t="s">
        <v>1736</v>
      </c>
      <c r="B8" s="94" t="s">
        <v>105</v>
      </c>
      <c r="C8" s="95" t="s">
        <v>116</v>
      </c>
      <c r="D8" s="96" t="s">
        <v>107</v>
      </c>
      <c r="E8" s="93" t="s">
        <v>1736</v>
      </c>
      <c r="F8" s="97" t="s">
        <v>108</v>
      </c>
      <c r="G8" s="95" t="s">
        <v>116</v>
      </c>
      <c r="H8" s="96" t="s">
        <v>107</v>
      </c>
      <c r="I8" s="93" t="s">
        <v>1736</v>
      </c>
      <c r="J8" s="97" t="s">
        <v>109</v>
      </c>
      <c r="K8" s="95" t="s">
        <v>116</v>
      </c>
      <c r="L8" s="96" t="s">
        <v>107</v>
      </c>
    </row>
    <row r="9" spans="1:12" ht="39.6" customHeight="1">
      <c r="A9" s="93" t="s">
        <v>1736</v>
      </c>
      <c r="B9" s="94" t="s">
        <v>105</v>
      </c>
      <c r="C9" s="95" t="s">
        <v>117</v>
      </c>
      <c r="D9" s="96" t="s">
        <v>107</v>
      </c>
      <c r="E9" s="93" t="s">
        <v>1736</v>
      </c>
      <c r="F9" s="97" t="s">
        <v>108</v>
      </c>
      <c r="G9" s="95" t="s">
        <v>117</v>
      </c>
      <c r="H9" s="96" t="s">
        <v>107</v>
      </c>
      <c r="I9" s="93" t="s">
        <v>1736</v>
      </c>
      <c r="J9" s="97" t="s">
        <v>109</v>
      </c>
      <c r="K9" s="95" t="s">
        <v>117</v>
      </c>
      <c r="L9" s="96" t="s">
        <v>107</v>
      </c>
    </row>
    <row r="10" spans="1:12" ht="39.6" customHeight="1">
      <c r="A10" s="93" t="s">
        <v>1736</v>
      </c>
      <c r="B10" s="94" t="s">
        <v>105</v>
      </c>
      <c r="C10" s="95" t="s">
        <v>118</v>
      </c>
      <c r="D10" s="96" t="s">
        <v>107</v>
      </c>
      <c r="E10" s="93" t="s">
        <v>1736</v>
      </c>
      <c r="F10" s="97" t="s">
        <v>108</v>
      </c>
      <c r="G10" s="95" t="s">
        <v>118</v>
      </c>
      <c r="H10" s="96" t="s">
        <v>107</v>
      </c>
      <c r="I10" s="93" t="s">
        <v>1736</v>
      </c>
      <c r="J10" s="97" t="s">
        <v>109</v>
      </c>
      <c r="K10" s="95" t="s">
        <v>118</v>
      </c>
      <c r="L10" s="96" t="s">
        <v>107</v>
      </c>
    </row>
    <row r="11" spans="1:12" ht="39.6" customHeight="1">
      <c r="A11" s="93" t="s">
        <v>1736</v>
      </c>
      <c r="B11" s="94" t="s">
        <v>105</v>
      </c>
      <c r="C11" s="95" t="s">
        <v>119</v>
      </c>
      <c r="D11" s="96" t="s">
        <v>107</v>
      </c>
      <c r="E11" s="93" t="s">
        <v>1736</v>
      </c>
      <c r="F11" s="97" t="s">
        <v>108</v>
      </c>
      <c r="G11" s="95" t="s">
        <v>119</v>
      </c>
      <c r="H11" s="96" t="s">
        <v>107</v>
      </c>
      <c r="I11" s="93" t="s">
        <v>1736</v>
      </c>
      <c r="J11" s="97" t="s">
        <v>109</v>
      </c>
      <c r="K11" s="95" t="s">
        <v>119</v>
      </c>
      <c r="L11" s="96" t="s">
        <v>107</v>
      </c>
    </row>
    <row r="12" spans="1:12" ht="39.6" customHeight="1">
      <c r="A12" s="93" t="s">
        <v>1736</v>
      </c>
      <c r="B12" s="94" t="s">
        <v>105</v>
      </c>
      <c r="C12" s="95" t="s">
        <v>120</v>
      </c>
      <c r="D12" s="96" t="s">
        <v>107</v>
      </c>
      <c r="E12" s="93" t="s">
        <v>1736</v>
      </c>
      <c r="F12" s="97" t="s">
        <v>108</v>
      </c>
      <c r="G12" s="95" t="s">
        <v>120</v>
      </c>
      <c r="H12" s="96" t="s">
        <v>107</v>
      </c>
      <c r="I12" s="93" t="s">
        <v>1736</v>
      </c>
      <c r="J12" s="97" t="s">
        <v>109</v>
      </c>
      <c r="K12" s="95" t="s">
        <v>120</v>
      </c>
      <c r="L12" s="96" t="s">
        <v>107</v>
      </c>
    </row>
    <row r="13" spans="1:12" ht="39.6" customHeight="1">
      <c r="A13" s="93" t="s">
        <v>1736</v>
      </c>
      <c r="B13" s="94" t="s">
        <v>105</v>
      </c>
      <c r="C13" s="95" t="s">
        <v>121</v>
      </c>
      <c r="D13" s="96" t="s">
        <v>107</v>
      </c>
      <c r="E13" s="93" t="s">
        <v>1736</v>
      </c>
      <c r="F13" s="97" t="s">
        <v>108</v>
      </c>
      <c r="G13" s="95" t="s">
        <v>121</v>
      </c>
      <c r="H13" s="96" t="s">
        <v>107</v>
      </c>
      <c r="I13" s="93" t="s">
        <v>1736</v>
      </c>
      <c r="J13" s="97" t="s">
        <v>109</v>
      </c>
      <c r="K13" s="95" t="s">
        <v>121</v>
      </c>
      <c r="L13" s="96" t="s">
        <v>107</v>
      </c>
    </row>
    <row r="14" spans="1:12" ht="39.6" customHeight="1">
      <c r="A14" s="93" t="s">
        <v>1736</v>
      </c>
      <c r="B14" s="94" t="s">
        <v>105</v>
      </c>
      <c r="C14" s="95" t="s">
        <v>122</v>
      </c>
      <c r="D14" s="96" t="s">
        <v>107</v>
      </c>
      <c r="E14" s="93" t="s">
        <v>1736</v>
      </c>
      <c r="F14" s="97" t="s">
        <v>108</v>
      </c>
      <c r="G14" s="95" t="s">
        <v>122</v>
      </c>
      <c r="H14" s="96" t="s">
        <v>107</v>
      </c>
      <c r="I14" s="93" t="s">
        <v>1736</v>
      </c>
      <c r="J14" s="97" t="s">
        <v>109</v>
      </c>
      <c r="K14" s="95" t="s">
        <v>122</v>
      </c>
      <c r="L14" s="96" t="s">
        <v>107</v>
      </c>
    </row>
    <row r="15" spans="1:12" ht="39.6" customHeight="1">
      <c r="A15" s="93" t="s">
        <v>1736</v>
      </c>
      <c r="B15" s="94" t="s">
        <v>105</v>
      </c>
      <c r="C15" s="95" t="s">
        <v>123</v>
      </c>
      <c r="D15" s="96" t="s">
        <v>107</v>
      </c>
      <c r="E15" s="93" t="s">
        <v>1736</v>
      </c>
      <c r="F15" s="97" t="s">
        <v>108</v>
      </c>
      <c r="G15" s="95" t="s">
        <v>123</v>
      </c>
      <c r="H15" s="96" t="s">
        <v>107</v>
      </c>
      <c r="I15" s="93" t="s">
        <v>1736</v>
      </c>
      <c r="J15" s="97" t="s">
        <v>109</v>
      </c>
      <c r="K15" s="95" t="s">
        <v>123</v>
      </c>
      <c r="L15" s="96" t="s">
        <v>107</v>
      </c>
    </row>
    <row r="16" spans="1:12" ht="39.6" customHeight="1">
      <c r="A16" s="93" t="s">
        <v>1736</v>
      </c>
      <c r="B16" s="94" t="s">
        <v>105</v>
      </c>
      <c r="C16" s="95" t="s">
        <v>124</v>
      </c>
      <c r="D16" s="96" t="s">
        <v>107</v>
      </c>
      <c r="E16" s="93" t="s">
        <v>1736</v>
      </c>
      <c r="F16" s="97" t="s">
        <v>108</v>
      </c>
      <c r="G16" s="95" t="s">
        <v>124</v>
      </c>
      <c r="H16" s="96" t="s">
        <v>107</v>
      </c>
      <c r="I16" s="93" t="s">
        <v>1736</v>
      </c>
      <c r="J16" s="97" t="s">
        <v>109</v>
      </c>
      <c r="K16" s="95" t="s">
        <v>124</v>
      </c>
      <c r="L16" s="96" t="s">
        <v>107</v>
      </c>
    </row>
    <row r="17" spans="1:12" ht="39.6" customHeight="1">
      <c r="A17" s="93" t="s">
        <v>1736</v>
      </c>
      <c r="B17" s="94" t="s">
        <v>105</v>
      </c>
      <c r="C17" s="95" t="s">
        <v>125</v>
      </c>
      <c r="D17" s="96" t="s">
        <v>107</v>
      </c>
      <c r="E17" s="93" t="s">
        <v>1736</v>
      </c>
      <c r="F17" s="97" t="s">
        <v>108</v>
      </c>
      <c r="G17" s="95" t="s">
        <v>125</v>
      </c>
      <c r="H17" s="96" t="s">
        <v>107</v>
      </c>
      <c r="I17" s="93" t="s">
        <v>1736</v>
      </c>
      <c r="J17" s="97" t="s">
        <v>109</v>
      </c>
      <c r="K17" s="95" t="s">
        <v>125</v>
      </c>
      <c r="L17" s="96" t="s">
        <v>107</v>
      </c>
    </row>
    <row r="18" spans="1:12" ht="39.6" customHeight="1">
      <c r="A18" s="93" t="s">
        <v>1736</v>
      </c>
      <c r="B18" s="94" t="s">
        <v>105</v>
      </c>
      <c r="C18" s="95" t="s">
        <v>126</v>
      </c>
      <c r="D18" s="96" t="s">
        <v>107</v>
      </c>
      <c r="E18" s="93" t="s">
        <v>1736</v>
      </c>
      <c r="F18" s="97" t="s">
        <v>108</v>
      </c>
      <c r="G18" s="95" t="s">
        <v>126</v>
      </c>
      <c r="H18" s="96" t="s">
        <v>107</v>
      </c>
      <c r="I18" s="93" t="s">
        <v>1736</v>
      </c>
      <c r="J18" s="97" t="s">
        <v>109</v>
      </c>
      <c r="K18" s="95" t="s">
        <v>126</v>
      </c>
      <c r="L18" s="96" t="s">
        <v>107</v>
      </c>
    </row>
    <row r="19" spans="1:12" ht="39.6" customHeight="1">
      <c r="A19" s="93" t="s">
        <v>1736</v>
      </c>
      <c r="B19" s="94" t="s">
        <v>105</v>
      </c>
      <c r="C19" s="95" t="s">
        <v>127</v>
      </c>
      <c r="D19" s="96" t="s">
        <v>107</v>
      </c>
      <c r="E19" s="93" t="s">
        <v>1736</v>
      </c>
      <c r="F19" s="97" t="s">
        <v>108</v>
      </c>
      <c r="G19" s="95" t="s">
        <v>127</v>
      </c>
      <c r="H19" s="96" t="s">
        <v>107</v>
      </c>
      <c r="I19" s="93" t="s">
        <v>1736</v>
      </c>
      <c r="J19" s="97" t="s">
        <v>109</v>
      </c>
      <c r="K19" s="95" t="s">
        <v>127</v>
      </c>
      <c r="L19" s="96" t="s">
        <v>107</v>
      </c>
    </row>
    <row r="20" spans="1:12" ht="39.6" customHeight="1">
      <c r="A20" s="93" t="s">
        <v>1736</v>
      </c>
      <c r="B20" s="94" t="s">
        <v>105</v>
      </c>
      <c r="C20" s="95" t="s">
        <v>128</v>
      </c>
      <c r="D20" s="96" t="s">
        <v>107</v>
      </c>
      <c r="E20" s="93" t="s">
        <v>1736</v>
      </c>
      <c r="F20" s="97" t="s">
        <v>108</v>
      </c>
      <c r="G20" s="95" t="s">
        <v>128</v>
      </c>
      <c r="H20" s="96" t="s">
        <v>107</v>
      </c>
      <c r="I20" s="93" t="s">
        <v>1736</v>
      </c>
      <c r="J20" s="97" t="s">
        <v>109</v>
      </c>
      <c r="K20" s="95" t="s">
        <v>128</v>
      </c>
      <c r="L20" s="96" t="s">
        <v>107</v>
      </c>
    </row>
    <row r="21" spans="1:12" ht="39.6" customHeight="1">
      <c r="A21" s="93" t="s">
        <v>1736</v>
      </c>
      <c r="B21" s="94" t="s">
        <v>105</v>
      </c>
      <c r="C21" s="95" t="s">
        <v>129</v>
      </c>
      <c r="D21" s="96" t="s">
        <v>107</v>
      </c>
      <c r="E21" s="93" t="s">
        <v>1736</v>
      </c>
      <c r="F21" s="97" t="s">
        <v>108</v>
      </c>
      <c r="G21" s="95" t="s">
        <v>129</v>
      </c>
      <c r="H21" s="96" t="s">
        <v>107</v>
      </c>
      <c r="I21" s="93" t="s">
        <v>1736</v>
      </c>
      <c r="J21" s="97" t="s">
        <v>109</v>
      </c>
      <c r="K21" s="95" t="s">
        <v>129</v>
      </c>
      <c r="L21" s="96" t="s">
        <v>107</v>
      </c>
    </row>
    <row r="22" spans="1:12" ht="39.6" customHeight="1">
      <c r="A22" s="93" t="s">
        <v>1736</v>
      </c>
      <c r="B22" s="94" t="s">
        <v>105</v>
      </c>
      <c r="C22" s="95" t="s">
        <v>130</v>
      </c>
      <c r="D22" s="96" t="s">
        <v>107</v>
      </c>
      <c r="E22" s="93" t="s">
        <v>1736</v>
      </c>
      <c r="F22" s="97" t="s">
        <v>108</v>
      </c>
      <c r="G22" s="95" t="s">
        <v>130</v>
      </c>
      <c r="H22" s="96" t="s">
        <v>107</v>
      </c>
      <c r="I22" s="93" t="s">
        <v>1736</v>
      </c>
      <c r="J22" s="97" t="s">
        <v>109</v>
      </c>
      <c r="K22" s="95" t="s">
        <v>130</v>
      </c>
      <c r="L22" s="96" t="s">
        <v>107</v>
      </c>
    </row>
    <row r="23" spans="1:12" ht="39.6" customHeight="1">
      <c r="A23" s="93" t="s">
        <v>1736</v>
      </c>
      <c r="B23" s="94" t="s">
        <v>105</v>
      </c>
      <c r="C23" s="95" t="s">
        <v>131</v>
      </c>
      <c r="D23" s="96" t="s">
        <v>107</v>
      </c>
      <c r="E23" s="93" t="s">
        <v>1736</v>
      </c>
      <c r="F23" s="97" t="s">
        <v>108</v>
      </c>
      <c r="G23" s="95" t="s">
        <v>131</v>
      </c>
      <c r="H23" s="96" t="s">
        <v>107</v>
      </c>
      <c r="I23" s="93" t="s">
        <v>1736</v>
      </c>
      <c r="J23" s="97" t="s">
        <v>109</v>
      </c>
      <c r="K23" s="95" t="s">
        <v>131</v>
      </c>
      <c r="L23" s="96" t="s">
        <v>107</v>
      </c>
    </row>
    <row r="24" spans="1:12" ht="39.6" customHeight="1">
      <c r="A24" s="93" t="s">
        <v>1736</v>
      </c>
      <c r="B24" s="94" t="s">
        <v>105</v>
      </c>
      <c r="C24" s="95" t="s">
        <v>132</v>
      </c>
      <c r="D24" s="96" t="s">
        <v>107</v>
      </c>
      <c r="E24" s="93" t="s">
        <v>1736</v>
      </c>
      <c r="F24" s="97" t="s">
        <v>108</v>
      </c>
      <c r="G24" s="95" t="s">
        <v>132</v>
      </c>
      <c r="H24" s="96" t="s">
        <v>107</v>
      </c>
      <c r="I24" s="93" t="s">
        <v>1736</v>
      </c>
      <c r="J24" s="97" t="s">
        <v>109</v>
      </c>
      <c r="K24" s="95" t="s">
        <v>132</v>
      </c>
      <c r="L24" s="96" t="s">
        <v>107</v>
      </c>
    </row>
    <row r="25" spans="1:12" ht="39.6" customHeight="1">
      <c r="A25" s="93" t="s">
        <v>1736</v>
      </c>
      <c r="B25" s="94" t="s">
        <v>105</v>
      </c>
      <c r="C25" s="95" t="s">
        <v>133</v>
      </c>
      <c r="D25" s="96" t="s">
        <v>107</v>
      </c>
      <c r="E25" s="93" t="s">
        <v>1736</v>
      </c>
      <c r="F25" s="97" t="s">
        <v>108</v>
      </c>
      <c r="G25" s="95" t="s">
        <v>133</v>
      </c>
      <c r="H25" s="96" t="s">
        <v>107</v>
      </c>
      <c r="I25" s="93" t="s">
        <v>1736</v>
      </c>
      <c r="J25" s="97" t="s">
        <v>109</v>
      </c>
      <c r="K25" s="95" t="s">
        <v>133</v>
      </c>
      <c r="L25" s="96" t="s">
        <v>107</v>
      </c>
    </row>
    <row r="26" spans="1:12" ht="39.6" customHeight="1">
      <c r="A26" s="93" t="s">
        <v>1736</v>
      </c>
      <c r="B26" s="94" t="s">
        <v>105</v>
      </c>
      <c r="C26" s="95" t="s">
        <v>134</v>
      </c>
      <c r="D26" s="96" t="s">
        <v>107</v>
      </c>
      <c r="E26" s="93" t="s">
        <v>1736</v>
      </c>
      <c r="F26" s="97" t="s">
        <v>108</v>
      </c>
      <c r="G26" s="95" t="s">
        <v>134</v>
      </c>
      <c r="H26" s="96" t="s">
        <v>107</v>
      </c>
      <c r="I26" s="93" t="s">
        <v>1736</v>
      </c>
      <c r="J26" s="97" t="s">
        <v>109</v>
      </c>
      <c r="K26" s="95" t="s">
        <v>134</v>
      </c>
      <c r="L26" s="96" t="s">
        <v>107</v>
      </c>
    </row>
    <row r="27" spans="1:12" ht="39.6" customHeight="1">
      <c r="A27" s="93" t="s">
        <v>1736</v>
      </c>
      <c r="B27" s="94" t="s">
        <v>105</v>
      </c>
      <c r="C27" s="95" t="s">
        <v>135</v>
      </c>
      <c r="D27" s="96" t="s">
        <v>107</v>
      </c>
      <c r="E27" s="93" t="s">
        <v>1736</v>
      </c>
      <c r="F27" s="97" t="s">
        <v>108</v>
      </c>
      <c r="G27" s="95" t="s">
        <v>135</v>
      </c>
      <c r="H27" s="96" t="s">
        <v>107</v>
      </c>
      <c r="I27" s="93" t="s">
        <v>1736</v>
      </c>
      <c r="J27" s="97" t="s">
        <v>109</v>
      </c>
      <c r="K27" s="95" t="s">
        <v>135</v>
      </c>
      <c r="L27" s="96" t="s">
        <v>107</v>
      </c>
    </row>
    <row r="28" spans="1:12" ht="39.6" customHeight="1">
      <c r="A28" s="93" t="s">
        <v>1736</v>
      </c>
      <c r="B28" s="94" t="s">
        <v>105</v>
      </c>
      <c r="C28" s="95" t="s">
        <v>136</v>
      </c>
      <c r="D28" s="96" t="s">
        <v>107</v>
      </c>
      <c r="E28" s="93" t="s">
        <v>1736</v>
      </c>
      <c r="F28" s="97" t="s">
        <v>108</v>
      </c>
      <c r="G28" s="95" t="s">
        <v>136</v>
      </c>
      <c r="H28" s="96" t="s">
        <v>107</v>
      </c>
      <c r="I28" s="93" t="s">
        <v>1736</v>
      </c>
      <c r="J28" s="97" t="s">
        <v>109</v>
      </c>
      <c r="K28" s="95" t="s">
        <v>136</v>
      </c>
      <c r="L28" s="96" t="s">
        <v>107</v>
      </c>
    </row>
    <row r="29" spans="1:12" ht="39.6" customHeight="1">
      <c r="A29" s="93" t="s">
        <v>1736</v>
      </c>
      <c r="B29" s="94" t="s">
        <v>105</v>
      </c>
      <c r="C29" s="95" t="s">
        <v>137</v>
      </c>
      <c r="D29" s="96" t="s">
        <v>107</v>
      </c>
      <c r="E29" s="93" t="s">
        <v>1736</v>
      </c>
      <c r="F29" s="97" t="s">
        <v>108</v>
      </c>
      <c r="G29" s="95" t="s">
        <v>137</v>
      </c>
      <c r="H29" s="96" t="s">
        <v>107</v>
      </c>
      <c r="I29" s="93" t="s">
        <v>1736</v>
      </c>
      <c r="J29" s="97" t="s">
        <v>109</v>
      </c>
      <c r="K29" s="95" t="s">
        <v>137</v>
      </c>
      <c r="L29" s="96" t="s">
        <v>107</v>
      </c>
    </row>
    <row r="30" spans="1:12" ht="39.6" customHeight="1">
      <c r="A30" s="93" t="s">
        <v>1736</v>
      </c>
      <c r="B30" s="94" t="s">
        <v>105</v>
      </c>
      <c r="C30" s="95" t="s">
        <v>138</v>
      </c>
      <c r="D30" s="96" t="s">
        <v>107</v>
      </c>
      <c r="E30" s="93" t="s">
        <v>1736</v>
      </c>
      <c r="F30" s="97" t="s">
        <v>108</v>
      </c>
      <c r="G30" s="95" t="s">
        <v>138</v>
      </c>
      <c r="H30" s="96" t="s">
        <v>107</v>
      </c>
      <c r="I30" s="93" t="s">
        <v>1736</v>
      </c>
      <c r="J30" s="97" t="s">
        <v>109</v>
      </c>
      <c r="K30" s="95" t="s">
        <v>138</v>
      </c>
      <c r="L30" s="96" t="s">
        <v>107</v>
      </c>
    </row>
    <row r="31" spans="1:12" ht="39.6" customHeight="1">
      <c r="A31" s="93" t="s">
        <v>1736</v>
      </c>
      <c r="B31" s="94" t="s">
        <v>105</v>
      </c>
      <c r="C31" s="95" t="s">
        <v>139</v>
      </c>
      <c r="D31" s="96" t="s">
        <v>107</v>
      </c>
      <c r="E31" s="93" t="s">
        <v>1736</v>
      </c>
      <c r="F31" s="97" t="s">
        <v>108</v>
      </c>
      <c r="G31" s="95" t="s">
        <v>139</v>
      </c>
      <c r="H31" s="96" t="s">
        <v>107</v>
      </c>
      <c r="I31" s="93" t="s">
        <v>1736</v>
      </c>
      <c r="J31" s="97" t="s">
        <v>109</v>
      </c>
      <c r="K31" s="95" t="s">
        <v>139</v>
      </c>
      <c r="L31" s="96" t="s">
        <v>107</v>
      </c>
    </row>
    <row r="32" spans="1:12" ht="39.6" customHeight="1">
      <c r="A32" s="93" t="s">
        <v>1736</v>
      </c>
      <c r="B32" s="94" t="s">
        <v>105</v>
      </c>
      <c r="C32" s="95" t="s">
        <v>140</v>
      </c>
      <c r="D32" s="96" t="s">
        <v>107</v>
      </c>
      <c r="E32" s="93" t="s">
        <v>1736</v>
      </c>
      <c r="F32" s="97" t="s">
        <v>108</v>
      </c>
      <c r="G32" s="95" t="s">
        <v>140</v>
      </c>
      <c r="H32" s="96" t="s">
        <v>107</v>
      </c>
      <c r="I32" s="93" t="s">
        <v>1736</v>
      </c>
      <c r="J32" s="97" t="s">
        <v>109</v>
      </c>
      <c r="K32" s="95" t="s">
        <v>140</v>
      </c>
      <c r="L32" s="96" t="s">
        <v>107</v>
      </c>
    </row>
    <row r="33" spans="1:12" ht="39.6" customHeight="1">
      <c r="A33" s="93" t="s">
        <v>1736</v>
      </c>
      <c r="B33" s="94" t="s">
        <v>105</v>
      </c>
      <c r="C33" s="95" t="s">
        <v>141</v>
      </c>
      <c r="D33" s="96" t="s">
        <v>107</v>
      </c>
      <c r="E33" s="93" t="s">
        <v>1736</v>
      </c>
      <c r="F33" s="97" t="s">
        <v>108</v>
      </c>
      <c r="G33" s="95" t="s">
        <v>141</v>
      </c>
      <c r="H33" s="96" t="s">
        <v>107</v>
      </c>
      <c r="I33" s="93" t="s">
        <v>1736</v>
      </c>
      <c r="J33" s="97" t="s">
        <v>109</v>
      </c>
      <c r="K33" s="95" t="s">
        <v>141</v>
      </c>
      <c r="L33" s="96" t="s">
        <v>107</v>
      </c>
    </row>
    <row r="34" spans="1:12" ht="39.6" customHeight="1">
      <c r="A34" s="93" t="s">
        <v>1736</v>
      </c>
      <c r="B34" s="94" t="s">
        <v>105</v>
      </c>
      <c r="C34" s="95" t="s">
        <v>142</v>
      </c>
      <c r="D34" s="96" t="s">
        <v>107</v>
      </c>
      <c r="E34" s="93" t="s">
        <v>1736</v>
      </c>
      <c r="F34" s="97" t="s">
        <v>108</v>
      </c>
      <c r="G34" s="95" t="s">
        <v>142</v>
      </c>
      <c r="H34" s="96" t="s">
        <v>107</v>
      </c>
      <c r="I34" s="93" t="s">
        <v>1736</v>
      </c>
      <c r="J34" s="97" t="s">
        <v>109</v>
      </c>
      <c r="K34" s="95" t="s">
        <v>142</v>
      </c>
      <c r="L34" s="96" t="s">
        <v>107</v>
      </c>
    </row>
    <row r="35" spans="1:12" ht="39.6" customHeight="1">
      <c r="A35" s="93" t="s">
        <v>1736</v>
      </c>
      <c r="B35" s="94" t="s">
        <v>105</v>
      </c>
      <c r="C35" s="95" t="s">
        <v>143</v>
      </c>
      <c r="D35" s="96" t="s">
        <v>107</v>
      </c>
      <c r="E35" s="93" t="s">
        <v>1736</v>
      </c>
      <c r="F35" s="97" t="s">
        <v>108</v>
      </c>
      <c r="G35" s="95" t="s">
        <v>143</v>
      </c>
      <c r="H35" s="96" t="s">
        <v>107</v>
      </c>
      <c r="I35" s="93" t="s">
        <v>1736</v>
      </c>
      <c r="J35" s="97" t="s">
        <v>109</v>
      </c>
      <c r="K35" s="95" t="s">
        <v>143</v>
      </c>
      <c r="L35" s="96" t="s">
        <v>107</v>
      </c>
    </row>
    <row r="36" spans="1:12" ht="39.6" customHeight="1">
      <c r="A36" s="93" t="s">
        <v>1736</v>
      </c>
      <c r="B36" s="94" t="s">
        <v>105</v>
      </c>
      <c r="C36" s="95" t="s">
        <v>144</v>
      </c>
      <c r="D36" s="96" t="s">
        <v>107</v>
      </c>
      <c r="E36" s="93" t="s">
        <v>1736</v>
      </c>
      <c r="F36" s="97" t="s">
        <v>108</v>
      </c>
      <c r="G36" s="95" t="s">
        <v>144</v>
      </c>
      <c r="H36" s="96" t="s">
        <v>107</v>
      </c>
      <c r="I36" s="93" t="s">
        <v>1736</v>
      </c>
      <c r="J36" s="97" t="s">
        <v>109</v>
      </c>
      <c r="K36" s="95" t="s">
        <v>144</v>
      </c>
      <c r="L36" s="96" t="s">
        <v>107</v>
      </c>
    </row>
    <row r="37" spans="1:12" ht="39.6" customHeight="1">
      <c r="A37" s="93" t="s">
        <v>1736</v>
      </c>
      <c r="B37" s="94" t="s">
        <v>105</v>
      </c>
      <c r="C37" s="95" t="s">
        <v>145</v>
      </c>
      <c r="D37" s="96" t="s">
        <v>107</v>
      </c>
      <c r="E37" s="93" t="s">
        <v>1736</v>
      </c>
      <c r="F37" s="97" t="s">
        <v>108</v>
      </c>
      <c r="G37" s="95" t="s">
        <v>145</v>
      </c>
      <c r="H37" s="96" t="s">
        <v>107</v>
      </c>
      <c r="I37" s="93" t="s">
        <v>1736</v>
      </c>
      <c r="J37" s="97" t="s">
        <v>109</v>
      </c>
      <c r="K37" s="95" t="s">
        <v>145</v>
      </c>
      <c r="L37" s="96" t="s">
        <v>107</v>
      </c>
    </row>
    <row r="38" spans="1:12" ht="39.6" customHeight="1">
      <c r="A38" s="93" t="s">
        <v>1736</v>
      </c>
      <c r="B38" s="94" t="s">
        <v>105</v>
      </c>
      <c r="C38" s="95" t="s">
        <v>146</v>
      </c>
      <c r="D38" s="96" t="s">
        <v>107</v>
      </c>
      <c r="E38" s="93" t="s">
        <v>1736</v>
      </c>
      <c r="F38" s="97" t="s">
        <v>108</v>
      </c>
      <c r="G38" s="95" t="s">
        <v>146</v>
      </c>
      <c r="H38" s="96" t="s">
        <v>107</v>
      </c>
      <c r="I38" s="93" t="s">
        <v>1736</v>
      </c>
      <c r="J38" s="97" t="s">
        <v>109</v>
      </c>
      <c r="K38" s="95" t="s">
        <v>146</v>
      </c>
      <c r="L38" s="96" t="s">
        <v>107</v>
      </c>
    </row>
    <row r="39" spans="1:12" ht="39.6" customHeight="1">
      <c r="A39" s="93" t="s">
        <v>1736</v>
      </c>
      <c r="B39" s="94" t="s">
        <v>105</v>
      </c>
      <c r="C39" s="95" t="s">
        <v>147</v>
      </c>
      <c r="D39" s="96" t="s">
        <v>107</v>
      </c>
      <c r="E39" s="93" t="s">
        <v>1736</v>
      </c>
      <c r="F39" s="97" t="s">
        <v>108</v>
      </c>
      <c r="G39" s="95" t="s">
        <v>147</v>
      </c>
      <c r="H39" s="96" t="s">
        <v>107</v>
      </c>
      <c r="I39" s="93" t="s">
        <v>1736</v>
      </c>
      <c r="J39" s="97" t="s">
        <v>109</v>
      </c>
      <c r="K39" s="95" t="s">
        <v>147</v>
      </c>
      <c r="L39" s="96" t="s">
        <v>107</v>
      </c>
    </row>
    <row r="40" spans="1:12" ht="39.6" customHeight="1">
      <c r="A40" s="93" t="s">
        <v>1736</v>
      </c>
      <c r="B40" s="94" t="s">
        <v>105</v>
      </c>
      <c r="C40" s="95" t="s">
        <v>148</v>
      </c>
      <c r="D40" s="96" t="s">
        <v>107</v>
      </c>
      <c r="E40" s="93" t="s">
        <v>1736</v>
      </c>
      <c r="F40" s="97" t="s">
        <v>108</v>
      </c>
      <c r="G40" s="95" t="s">
        <v>148</v>
      </c>
      <c r="H40" s="96" t="s">
        <v>107</v>
      </c>
      <c r="I40" s="93" t="s">
        <v>1736</v>
      </c>
      <c r="J40" s="97" t="s">
        <v>109</v>
      </c>
      <c r="K40" s="95" t="s">
        <v>148</v>
      </c>
      <c r="L40" s="96" t="s">
        <v>107</v>
      </c>
    </row>
    <row r="41" spans="1:12" ht="39.6" customHeight="1">
      <c r="A41" s="93" t="s">
        <v>1736</v>
      </c>
      <c r="B41" s="94" t="s">
        <v>105</v>
      </c>
      <c r="C41" s="95" t="s">
        <v>149</v>
      </c>
      <c r="D41" s="96" t="s">
        <v>107</v>
      </c>
      <c r="E41" s="93" t="s">
        <v>1736</v>
      </c>
      <c r="F41" s="97" t="s">
        <v>108</v>
      </c>
      <c r="G41" s="95" t="s">
        <v>149</v>
      </c>
      <c r="H41" s="96" t="s">
        <v>107</v>
      </c>
      <c r="I41" s="93" t="s">
        <v>1736</v>
      </c>
      <c r="J41" s="97" t="s">
        <v>109</v>
      </c>
      <c r="K41" s="95" t="s">
        <v>149</v>
      </c>
      <c r="L41" s="96" t="s">
        <v>107</v>
      </c>
    </row>
    <row r="42" spans="1:12" ht="39.6" customHeight="1">
      <c r="A42" s="93" t="s">
        <v>1736</v>
      </c>
      <c r="B42" s="94" t="s">
        <v>105</v>
      </c>
      <c r="C42" s="95" t="s">
        <v>150</v>
      </c>
      <c r="D42" s="96" t="s">
        <v>107</v>
      </c>
      <c r="E42" s="93" t="s">
        <v>1736</v>
      </c>
      <c r="F42" s="97" t="s">
        <v>108</v>
      </c>
      <c r="G42" s="95" t="s">
        <v>150</v>
      </c>
      <c r="H42" s="96" t="s">
        <v>107</v>
      </c>
      <c r="I42" s="93" t="s">
        <v>1736</v>
      </c>
      <c r="J42" s="97" t="s">
        <v>109</v>
      </c>
      <c r="K42" s="95" t="s">
        <v>150</v>
      </c>
      <c r="L42" s="96" t="s">
        <v>107</v>
      </c>
    </row>
  </sheetData>
  <pageMargins left="0.7" right="0.7" top="0.75" bottom="0.75" header="0.3" footer="0.3"/>
  <pageSetup paperSize="9" scale="96" orientation="portrait" r:id="rId1"/>
  <colBreaks count="1" manualBreakCount="1">
    <brk id="8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049A0-BFC8-42AE-A32B-861898DEDCE6}">
  <dimension ref="A1:X93"/>
  <sheetViews>
    <sheetView topLeftCell="A31" workbookViewId="0">
      <selection activeCell="L45" sqref="L45"/>
    </sheetView>
  </sheetViews>
  <sheetFormatPr defaultRowHeight="15"/>
  <cols>
    <col min="1" max="1" width="15.85546875" customWidth="1"/>
    <col min="2" max="2" width="11.140625" bestFit="1" customWidth="1"/>
  </cols>
  <sheetData>
    <row r="1" spans="1:9" ht="15.75">
      <c r="A1" s="226" t="s">
        <v>1912</v>
      </c>
      <c r="B1" s="226"/>
    </row>
    <row r="2" spans="1:9">
      <c r="F2" s="262" t="s">
        <v>1999</v>
      </c>
      <c r="G2" s="262" t="s">
        <v>1999</v>
      </c>
      <c r="H2" s="262" t="s">
        <v>1853</v>
      </c>
      <c r="I2" s="263"/>
    </row>
    <row r="3" spans="1:9">
      <c r="A3" s="254" t="s">
        <v>17</v>
      </c>
      <c r="B3" s="260" t="s">
        <v>1998</v>
      </c>
      <c r="C3" s="255" t="s">
        <v>1754</v>
      </c>
      <c r="D3" s="256" t="s">
        <v>1755</v>
      </c>
      <c r="E3" s="255" t="s">
        <v>1756</v>
      </c>
      <c r="F3" s="219" t="s">
        <v>2000</v>
      </c>
      <c r="G3" s="219" t="s">
        <v>24</v>
      </c>
      <c r="H3" s="219" t="s">
        <v>156</v>
      </c>
      <c r="I3" s="264" t="s">
        <v>2001</v>
      </c>
    </row>
    <row r="4" spans="1:9">
      <c r="A4" s="257" t="s">
        <v>1913</v>
      </c>
      <c r="B4" s="261"/>
      <c r="C4" s="258">
        <v>7.1899482607839995E-4</v>
      </c>
      <c r="D4" s="259">
        <v>0</v>
      </c>
      <c r="E4" s="258">
        <v>0</v>
      </c>
      <c r="F4" s="265">
        <v>2020</v>
      </c>
      <c r="G4" s="269" t="s">
        <v>2002</v>
      </c>
      <c r="I4" s="323"/>
    </row>
    <row r="5" spans="1:9">
      <c r="A5" s="257" t="s">
        <v>1914</v>
      </c>
      <c r="B5" s="257">
        <v>2876.1</v>
      </c>
      <c r="C5" s="258">
        <v>12.899800300598145</v>
      </c>
      <c r="D5" s="259">
        <v>0.65252465009689331</v>
      </c>
      <c r="E5" s="258">
        <v>0.59025824069976807</v>
      </c>
      <c r="F5" s="265">
        <v>2020</v>
      </c>
      <c r="G5" s="265" t="s">
        <v>109</v>
      </c>
      <c r="H5" s="265">
        <v>1</v>
      </c>
      <c r="I5" s="324">
        <f>C5/E5</f>
        <v>21.854502675481601</v>
      </c>
    </row>
    <row r="6" spans="1:9">
      <c r="A6" s="257" t="s">
        <v>1915</v>
      </c>
      <c r="B6" s="257">
        <v>3213.1</v>
      </c>
      <c r="C6" s="258">
        <v>13.168676376342773</v>
      </c>
      <c r="D6" s="259">
        <v>0.70145046710968018</v>
      </c>
      <c r="E6" s="258">
        <v>0.7134089469909668</v>
      </c>
      <c r="F6" s="265">
        <v>2020</v>
      </c>
      <c r="G6" s="265" t="s">
        <v>109</v>
      </c>
      <c r="H6" s="266">
        <v>2</v>
      </c>
      <c r="I6" s="324">
        <f t="shared" ref="I6:I69" si="0">C6/E6</f>
        <v>18.458804633563862</v>
      </c>
    </row>
    <row r="7" spans="1:9">
      <c r="A7" s="257" t="s">
        <v>1916</v>
      </c>
      <c r="B7" s="257">
        <v>3053.9</v>
      </c>
      <c r="C7" s="258">
        <v>12.728379249572754</v>
      </c>
      <c r="D7" s="259">
        <v>0.59454715251922607</v>
      </c>
      <c r="E7" s="258">
        <v>0.5815805196762085</v>
      </c>
      <c r="F7" s="265">
        <v>2020</v>
      </c>
      <c r="G7" s="265" t="s">
        <v>109</v>
      </c>
      <c r="H7" s="266">
        <v>3</v>
      </c>
      <c r="I7" s="324">
        <f t="shared" si="0"/>
        <v>21.885841803400162</v>
      </c>
    </row>
    <row r="8" spans="1:9">
      <c r="A8" s="257" t="s">
        <v>1917</v>
      </c>
      <c r="B8" s="257">
        <v>3303.5</v>
      </c>
      <c r="C8" s="258">
        <v>13.007413864135742</v>
      </c>
      <c r="D8" s="259">
        <v>0.60784351825714111</v>
      </c>
      <c r="E8" s="258">
        <v>0.59120053052902222</v>
      </c>
      <c r="F8" s="265">
        <v>2020</v>
      </c>
      <c r="G8" s="265" t="s">
        <v>109</v>
      </c>
      <c r="H8" s="266">
        <v>4</v>
      </c>
      <c r="I8" s="324">
        <f t="shared" si="0"/>
        <v>22.001695181999171</v>
      </c>
    </row>
    <row r="9" spans="1:9">
      <c r="A9" s="257" t="s">
        <v>1918</v>
      </c>
      <c r="B9" s="257">
        <v>2741</v>
      </c>
      <c r="C9" s="258">
        <v>13.373337745666504</v>
      </c>
      <c r="D9" s="259">
        <v>0.65162098407745361</v>
      </c>
      <c r="E9" s="258">
        <v>0.64371716976165771</v>
      </c>
      <c r="F9" s="265">
        <v>2020</v>
      </c>
      <c r="G9" s="265" t="s">
        <v>109</v>
      </c>
      <c r="H9" s="266">
        <v>5</v>
      </c>
      <c r="I9" s="324">
        <f t="shared" si="0"/>
        <v>20.77517638781968</v>
      </c>
    </row>
    <row r="10" spans="1:9">
      <c r="A10" s="257" t="s">
        <v>1919</v>
      </c>
      <c r="B10" s="257">
        <v>3524</v>
      </c>
      <c r="C10" s="258">
        <v>13.315540313720703</v>
      </c>
      <c r="D10" s="259">
        <v>0.65746307373046875</v>
      </c>
      <c r="E10" s="258">
        <v>0.62657523155212402</v>
      </c>
      <c r="F10" s="265">
        <v>2020</v>
      </c>
      <c r="G10" s="265" t="s">
        <v>109</v>
      </c>
      <c r="H10" s="266">
        <v>6</v>
      </c>
      <c r="I10" s="324">
        <f t="shared" si="0"/>
        <v>21.251303344270479</v>
      </c>
    </row>
    <row r="11" spans="1:9">
      <c r="A11" s="257" t="s">
        <v>1920</v>
      </c>
      <c r="B11" s="257">
        <v>2875</v>
      </c>
      <c r="C11" s="258">
        <v>13.32733154296875</v>
      </c>
      <c r="D11" s="259">
        <v>0.60977154970169067</v>
      </c>
      <c r="E11" s="258">
        <v>0.60172700881958008</v>
      </c>
      <c r="F11" s="265">
        <v>2020</v>
      </c>
      <c r="G11" s="265" t="s">
        <v>109</v>
      </c>
      <c r="H11" s="266">
        <v>7</v>
      </c>
      <c r="I11" s="324">
        <f t="shared" si="0"/>
        <v>22.148468238301689</v>
      </c>
    </row>
    <row r="12" spans="1:9">
      <c r="A12" s="257" t="s">
        <v>1921</v>
      </c>
      <c r="B12" s="257">
        <v>3302.8</v>
      </c>
      <c r="C12" s="258">
        <v>13.380064964294434</v>
      </c>
      <c r="D12" s="259">
        <v>0.60549134016036987</v>
      </c>
      <c r="E12" s="258">
        <v>0.59552651643753052</v>
      </c>
      <c r="F12" s="265">
        <v>2020</v>
      </c>
      <c r="G12" s="265" t="s">
        <v>109</v>
      </c>
      <c r="H12" s="266">
        <v>8</v>
      </c>
      <c r="I12" s="324">
        <f t="shared" si="0"/>
        <v>22.467622507112953</v>
      </c>
    </row>
    <row r="13" spans="1:9">
      <c r="A13" s="257" t="s">
        <v>1922</v>
      </c>
      <c r="B13" s="257">
        <v>3075.2</v>
      </c>
      <c r="C13" s="258">
        <v>13.234282493591309</v>
      </c>
      <c r="D13" s="259">
        <v>0.64322125911712646</v>
      </c>
      <c r="E13" s="258">
        <v>0.60648548603057861</v>
      </c>
      <c r="F13" s="265">
        <v>2020</v>
      </c>
      <c r="G13" s="265" t="s">
        <v>109</v>
      </c>
      <c r="H13" s="266">
        <v>9</v>
      </c>
      <c r="I13" s="324">
        <f t="shared" si="0"/>
        <v>21.821268271742358</v>
      </c>
    </row>
    <row r="14" spans="1:9">
      <c r="A14" s="257" t="s">
        <v>1923</v>
      </c>
      <c r="B14" s="257">
        <v>2648.8</v>
      </c>
      <c r="C14" s="258">
        <v>12.993215560913086</v>
      </c>
      <c r="D14" s="259">
        <v>0.55701357126235962</v>
      </c>
      <c r="E14" s="258">
        <v>0.56915897130966187</v>
      </c>
      <c r="F14" s="265">
        <v>2020</v>
      </c>
      <c r="G14" s="265" t="s">
        <v>109</v>
      </c>
      <c r="H14" s="266">
        <v>10</v>
      </c>
      <c r="I14" s="324">
        <f t="shared" si="0"/>
        <v>22.82879865886165</v>
      </c>
    </row>
    <row r="15" spans="1:9" ht="15.75" thickBot="1">
      <c r="A15" s="257" t="s">
        <v>1924</v>
      </c>
      <c r="B15" s="257">
        <v>3422.3</v>
      </c>
      <c r="C15" s="258">
        <v>13.472657203674316</v>
      </c>
      <c r="D15" s="259">
        <v>0.8663405179977417</v>
      </c>
      <c r="E15" s="258">
        <v>0.74613505601882935</v>
      </c>
      <c r="F15" s="265">
        <v>2020</v>
      </c>
      <c r="G15" s="267" t="s">
        <v>109</v>
      </c>
      <c r="H15" s="268">
        <v>11</v>
      </c>
      <c r="I15" s="324">
        <f t="shared" si="0"/>
        <v>18.056593233349329</v>
      </c>
    </row>
    <row r="16" spans="1:9" ht="15.75" thickTop="1">
      <c r="A16" s="257" t="s">
        <v>1925</v>
      </c>
      <c r="B16" s="257"/>
      <c r="C16" s="258"/>
      <c r="D16" s="259"/>
      <c r="E16" s="258"/>
      <c r="F16" s="265"/>
      <c r="I16" s="325"/>
    </row>
    <row r="17" spans="1:14">
      <c r="A17" s="277" t="s">
        <v>1926</v>
      </c>
      <c r="B17" s="277">
        <v>2807.5</v>
      </c>
      <c r="C17" s="278">
        <v>13.084894180297852</v>
      </c>
      <c r="D17" s="279">
        <v>0.88817441463470459</v>
      </c>
      <c r="E17" s="278">
        <v>0.76863497495651245</v>
      </c>
      <c r="F17" s="280">
        <v>2020</v>
      </c>
      <c r="G17" s="281" t="s">
        <v>109</v>
      </c>
      <c r="H17" s="282" t="s">
        <v>1886</v>
      </c>
      <c r="I17" s="324">
        <f t="shared" si="0"/>
        <v>17.023547726328957</v>
      </c>
      <c r="J17" s="274" t="str">
        <f>G17</f>
        <v>47_3800</v>
      </c>
      <c r="K17" s="275">
        <v>12</v>
      </c>
      <c r="L17" s="127" t="s">
        <v>2018</v>
      </c>
      <c r="M17" s="127"/>
      <c r="N17" s="127"/>
    </row>
    <row r="18" spans="1:14">
      <c r="A18" s="277" t="s">
        <v>1927</v>
      </c>
      <c r="B18" s="277">
        <v>3315.9</v>
      </c>
      <c r="C18" s="278">
        <v>13.283363342285156</v>
      </c>
      <c r="D18" s="279">
        <v>0.93527513742446899</v>
      </c>
      <c r="E18" s="278">
        <v>0.76153069734573364</v>
      </c>
      <c r="F18" s="280">
        <v>2020</v>
      </c>
      <c r="G18" s="280" t="s">
        <v>109</v>
      </c>
      <c r="H18" s="283" t="s">
        <v>1889</v>
      </c>
      <c r="I18" s="324">
        <f t="shared" si="0"/>
        <v>17.442978186675163</v>
      </c>
      <c r="L18" s="127" t="s">
        <v>2019</v>
      </c>
      <c r="M18" s="127" t="s">
        <v>2020</v>
      </c>
      <c r="N18" s="127"/>
    </row>
    <row r="19" spans="1:14">
      <c r="A19" s="257" t="s">
        <v>1928</v>
      </c>
      <c r="B19" s="257">
        <v>2695.6</v>
      </c>
      <c r="C19" s="258">
        <v>12.692751884460449</v>
      </c>
      <c r="D19" s="259">
        <v>0.6848340630531311</v>
      </c>
      <c r="E19" s="258">
        <v>0.65266978740692139</v>
      </c>
      <c r="F19" s="265">
        <v>2020</v>
      </c>
      <c r="G19" s="265" t="s">
        <v>109</v>
      </c>
      <c r="H19" s="266">
        <v>13</v>
      </c>
      <c r="I19" s="324">
        <f t="shared" si="0"/>
        <v>19.447432881624827</v>
      </c>
      <c r="K19" t="s">
        <v>1799</v>
      </c>
      <c r="L19" s="276">
        <f>((E17-E17)/AVERAGE(E18,E18))*100</f>
        <v>0</v>
      </c>
      <c r="M19" s="276">
        <f>((C17-C18)/AVERAGE(C17,C18))*100</f>
        <v>-1.5053642571362664</v>
      </c>
    </row>
    <row r="20" spans="1:14">
      <c r="A20" s="257" t="s">
        <v>1929</v>
      </c>
      <c r="B20" s="257">
        <v>3203.2</v>
      </c>
      <c r="C20" s="258">
        <v>12.899261474609375</v>
      </c>
      <c r="D20" s="259">
        <v>0.77483177185058594</v>
      </c>
      <c r="E20" s="258">
        <v>0.70554590225219727</v>
      </c>
      <c r="F20" s="265">
        <v>2020</v>
      </c>
      <c r="G20" s="265" t="s">
        <v>109</v>
      </c>
      <c r="H20" s="266">
        <v>14</v>
      </c>
      <c r="I20" s="324">
        <f t="shared" si="0"/>
        <v>18.282667978700182</v>
      </c>
    </row>
    <row r="21" spans="1:14">
      <c r="A21" s="257" t="s">
        <v>1930</v>
      </c>
      <c r="B21" s="257">
        <v>2614.6</v>
      </c>
      <c r="C21" s="258">
        <v>12.310659408569336</v>
      </c>
      <c r="D21" s="259">
        <v>0.6152883768081665</v>
      </c>
      <c r="E21" s="258">
        <v>0.58270043134689331</v>
      </c>
      <c r="F21" s="265">
        <v>2020</v>
      </c>
      <c r="G21" s="265" t="s">
        <v>109</v>
      </c>
      <c r="H21" s="266">
        <v>15</v>
      </c>
      <c r="I21" s="324">
        <f t="shared" si="0"/>
        <v>21.126909722914814</v>
      </c>
    </row>
    <row r="22" spans="1:14">
      <c r="A22" s="284" t="s">
        <v>1931</v>
      </c>
      <c r="B22" s="284">
        <v>3408.5</v>
      </c>
      <c r="C22" s="285">
        <v>12.346800804138184</v>
      </c>
      <c r="D22" s="286">
        <v>0.48809602856636047</v>
      </c>
      <c r="E22" s="285">
        <v>0.46513721346855164</v>
      </c>
      <c r="F22" s="287">
        <v>2020</v>
      </c>
      <c r="G22" s="287" t="s">
        <v>109</v>
      </c>
      <c r="H22" s="288" t="s">
        <v>2003</v>
      </c>
      <c r="I22" s="324">
        <f t="shared" si="0"/>
        <v>26.544426991913781</v>
      </c>
      <c r="J22" s="287" t="str">
        <f>G22</f>
        <v>47_3800</v>
      </c>
      <c r="K22" s="288">
        <v>16</v>
      </c>
      <c r="L22" s="127" t="s">
        <v>2018</v>
      </c>
      <c r="M22" s="127"/>
      <c r="N22" s="127"/>
    </row>
    <row r="23" spans="1:14">
      <c r="A23" s="257" t="s">
        <v>1932</v>
      </c>
      <c r="B23" s="257">
        <v>4353.3</v>
      </c>
      <c r="C23" s="258">
        <v>3.2519707679748535</v>
      </c>
      <c r="D23" s="259">
        <v>0.66570836305618286</v>
      </c>
      <c r="E23" s="258">
        <v>0.27374288439750671</v>
      </c>
      <c r="F23" s="265">
        <v>2020</v>
      </c>
      <c r="G23" s="265" t="s">
        <v>2004</v>
      </c>
      <c r="H23" s="266"/>
      <c r="I23" s="324">
        <f t="shared" si="0"/>
        <v>11.879654059802377</v>
      </c>
      <c r="L23" s="127" t="s">
        <v>2019</v>
      </c>
      <c r="M23" s="127" t="s">
        <v>2020</v>
      </c>
      <c r="N23" s="127"/>
    </row>
    <row r="24" spans="1:14">
      <c r="A24" s="257" t="s">
        <v>1933</v>
      </c>
      <c r="B24" s="257">
        <v>2960.4</v>
      </c>
      <c r="C24" s="258">
        <v>12.596179008483887</v>
      </c>
      <c r="D24" s="259">
        <v>0.48576745390892029</v>
      </c>
      <c r="E24" s="258">
        <v>0.53989666700363159</v>
      </c>
      <c r="F24" s="265">
        <v>2020</v>
      </c>
      <c r="G24" s="265" t="s">
        <v>109</v>
      </c>
      <c r="H24" s="266">
        <v>17</v>
      </c>
      <c r="I24" s="324">
        <f t="shared" si="0"/>
        <v>23.330721929422761</v>
      </c>
      <c r="K24" t="s">
        <v>1799</v>
      </c>
      <c r="L24" s="291">
        <f>((E22-E22)/AVERAGE(E30,E30))*100</f>
        <v>0</v>
      </c>
      <c r="M24" s="291">
        <f>((C22-C30)/AVERAGE(C22,C30))*100</f>
        <v>0.36758264921989087</v>
      </c>
    </row>
    <row r="25" spans="1:14">
      <c r="A25" s="257" t="s">
        <v>1934</v>
      </c>
      <c r="B25" s="257">
        <v>3042.1</v>
      </c>
      <c r="C25" s="258">
        <v>12.922277450561523</v>
      </c>
      <c r="D25" s="259">
        <v>0.55919790267944336</v>
      </c>
      <c r="E25" s="258">
        <v>0.5759199857711792</v>
      </c>
      <c r="F25" s="265">
        <v>2020</v>
      </c>
      <c r="G25" s="265" t="s">
        <v>109</v>
      </c>
      <c r="H25" s="266">
        <v>18</v>
      </c>
      <c r="I25" s="324">
        <f t="shared" si="0"/>
        <v>22.437626354046547</v>
      </c>
    </row>
    <row r="26" spans="1:14">
      <c r="A26" s="257" t="s">
        <v>1935</v>
      </c>
      <c r="B26" s="257">
        <v>2737.6</v>
      </c>
      <c r="C26" s="258">
        <v>12.463933944702148</v>
      </c>
      <c r="D26" s="259">
        <v>0.47650086879730225</v>
      </c>
      <c r="E26" s="258">
        <v>0.47997963428497314</v>
      </c>
      <c r="F26" s="265">
        <v>2020</v>
      </c>
      <c r="G26" s="265" t="s">
        <v>109</v>
      </c>
      <c r="H26" s="266">
        <v>19</v>
      </c>
      <c r="I26" s="324">
        <f t="shared" si="0"/>
        <v>25.967630820982023</v>
      </c>
    </row>
    <row r="27" spans="1:14">
      <c r="A27" s="257" t="s">
        <v>1936</v>
      </c>
      <c r="B27" s="257">
        <v>3298.1</v>
      </c>
      <c r="C27" s="258">
        <v>12.741425514221191</v>
      </c>
      <c r="D27" s="259">
        <v>0.5522768497467041</v>
      </c>
      <c r="E27" s="258">
        <v>0.56030535697937012</v>
      </c>
      <c r="F27" s="265">
        <v>2020</v>
      </c>
      <c r="G27" s="265" t="s">
        <v>109</v>
      </c>
      <c r="H27" s="266">
        <v>20</v>
      </c>
      <c r="I27" s="324">
        <f t="shared" si="0"/>
        <v>22.740145807119809</v>
      </c>
    </row>
    <row r="28" spans="1:14" ht="15.75" thickBot="1">
      <c r="A28" s="257" t="s">
        <v>1937</v>
      </c>
      <c r="B28" s="257">
        <v>3099</v>
      </c>
      <c r="C28" s="258">
        <v>13.121577262878418</v>
      </c>
      <c r="D28" s="259">
        <v>0.52559578418731689</v>
      </c>
      <c r="E28" s="258">
        <v>0.56209111213684082</v>
      </c>
      <c r="F28" s="265">
        <v>2020</v>
      </c>
      <c r="G28" s="267" t="s">
        <v>109</v>
      </c>
      <c r="H28" s="268">
        <v>21</v>
      </c>
      <c r="I28" s="324">
        <f t="shared" si="0"/>
        <v>23.344217653603419</v>
      </c>
    </row>
    <row r="29" spans="1:14" ht="15.75" thickTop="1">
      <c r="A29" s="257" t="s">
        <v>1938</v>
      </c>
      <c r="C29" s="258"/>
      <c r="D29" s="259"/>
      <c r="E29" s="258"/>
      <c r="F29" s="265"/>
      <c r="I29" s="325"/>
    </row>
    <row r="30" spans="1:14">
      <c r="A30" s="284" t="s">
        <v>1939</v>
      </c>
      <c r="B30" s="284">
        <v>2841.7</v>
      </c>
      <c r="C30" s="285">
        <v>12.301499366760254</v>
      </c>
      <c r="D30" s="286">
        <v>0.47465494275093079</v>
      </c>
      <c r="E30" s="285">
        <v>0.46986791491508484</v>
      </c>
      <c r="F30" s="287">
        <v>2020</v>
      </c>
      <c r="G30" s="289" t="s">
        <v>109</v>
      </c>
      <c r="H30" s="290" t="s">
        <v>2005</v>
      </c>
      <c r="I30" s="324">
        <f t="shared" si="0"/>
        <v>26.180760541999121</v>
      </c>
    </row>
    <row r="31" spans="1:14">
      <c r="A31" s="257" t="s">
        <v>1940</v>
      </c>
      <c r="B31" s="257">
        <v>3006.8</v>
      </c>
      <c r="C31" s="258">
        <v>16.027847290039063</v>
      </c>
      <c r="D31" s="259">
        <v>1.1727060079574585</v>
      </c>
      <c r="E31" s="258">
        <v>1.3819912672042847</v>
      </c>
      <c r="F31" s="265">
        <v>2020</v>
      </c>
      <c r="G31" s="265" t="s">
        <v>105</v>
      </c>
      <c r="H31" s="265">
        <v>1</v>
      </c>
      <c r="I31" s="324">
        <f t="shared" si="0"/>
        <v>11.59764730095783</v>
      </c>
    </row>
    <row r="32" spans="1:14">
      <c r="A32" s="257" t="s">
        <v>1941</v>
      </c>
      <c r="B32" s="257">
        <v>2989.4</v>
      </c>
      <c r="C32" s="258">
        <v>14.433666229248047</v>
      </c>
      <c r="D32" s="259">
        <v>0.9039425253868103</v>
      </c>
      <c r="E32" s="258">
        <v>1.0813783407211304</v>
      </c>
      <c r="F32" s="265">
        <v>2020</v>
      </c>
      <c r="G32" s="265" t="s">
        <v>105</v>
      </c>
      <c r="H32" s="266">
        <v>2</v>
      </c>
      <c r="I32" s="324">
        <f t="shared" si="0"/>
        <v>13.347471172413885</v>
      </c>
    </row>
    <row r="33" spans="1:23">
      <c r="A33" s="257" t="s">
        <v>1942</v>
      </c>
      <c r="B33" s="257">
        <v>3713.8</v>
      </c>
      <c r="C33" s="258">
        <v>14.707548141479492</v>
      </c>
      <c r="D33" s="259">
        <v>0.95133036375045776</v>
      </c>
      <c r="E33" s="258">
        <v>1.0262516736984253</v>
      </c>
      <c r="F33" s="265">
        <v>2020</v>
      </c>
      <c r="G33" s="265" t="s">
        <v>105</v>
      </c>
      <c r="H33" s="266">
        <v>3</v>
      </c>
      <c r="I33" s="324">
        <f t="shared" si="0"/>
        <v>14.331326825978417</v>
      </c>
    </row>
    <row r="34" spans="1:23">
      <c r="A34" s="257" t="s">
        <v>1943</v>
      </c>
      <c r="B34" s="257">
        <v>4131.5</v>
      </c>
      <c r="C34" s="258">
        <v>3.1854884624481201</v>
      </c>
      <c r="D34" s="259">
        <v>0.63217794895172119</v>
      </c>
      <c r="E34" s="258">
        <v>0.26954087615013123</v>
      </c>
      <c r="F34" s="265">
        <v>2020</v>
      </c>
      <c r="G34" s="265" t="s">
        <v>2006</v>
      </c>
      <c r="H34" s="266"/>
      <c r="I34" s="324">
        <f t="shared" si="0"/>
        <v>11.818201780548636</v>
      </c>
    </row>
    <row r="35" spans="1:23">
      <c r="A35" s="257" t="s">
        <v>1944</v>
      </c>
      <c r="B35" s="257">
        <v>3497.4</v>
      </c>
      <c r="C35" s="258">
        <v>17.446081161499023</v>
      </c>
      <c r="D35" s="259">
        <v>1.475044846534729</v>
      </c>
      <c r="E35" s="258">
        <v>1.5050646066665649</v>
      </c>
      <c r="F35" s="265">
        <v>2020</v>
      </c>
      <c r="G35" s="265" t="s">
        <v>105</v>
      </c>
      <c r="H35" s="266">
        <v>4</v>
      </c>
      <c r="I35" s="324">
        <f t="shared" si="0"/>
        <v>11.591582902303983</v>
      </c>
    </row>
    <row r="36" spans="1:23">
      <c r="A36" s="257" t="s">
        <v>1945</v>
      </c>
      <c r="B36" s="257">
        <v>3583.2</v>
      </c>
      <c r="C36" s="258">
        <v>14.767549514770508</v>
      </c>
      <c r="D36" s="259">
        <v>0.93128114938735962</v>
      </c>
      <c r="E36" s="258">
        <v>0.9445081353187561</v>
      </c>
      <c r="F36" s="265">
        <v>2020</v>
      </c>
      <c r="G36" s="265" t="s">
        <v>105</v>
      </c>
      <c r="H36" s="266">
        <v>5</v>
      </c>
      <c r="I36" s="324">
        <f t="shared" si="0"/>
        <v>15.635174502532687</v>
      </c>
    </row>
    <row r="37" spans="1:23">
      <c r="A37" s="257" t="s">
        <v>1946</v>
      </c>
      <c r="B37" s="257">
        <v>3452.3</v>
      </c>
      <c r="C37" s="258">
        <v>14.464190483093262</v>
      </c>
      <c r="D37" s="259">
        <v>0.79741251468658447</v>
      </c>
      <c r="E37" s="258">
        <v>0.88411116600036621</v>
      </c>
      <c r="F37" s="265">
        <v>2020</v>
      </c>
      <c r="G37" s="265" t="s">
        <v>105</v>
      </c>
      <c r="H37" s="266">
        <v>6</v>
      </c>
      <c r="I37" s="324">
        <f t="shared" si="0"/>
        <v>16.360149084563503</v>
      </c>
    </row>
    <row r="38" spans="1:23">
      <c r="A38" s="257" t="s">
        <v>1947</v>
      </c>
      <c r="B38" s="257">
        <v>3481.3</v>
      </c>
      <c r="C38" s="258">
        <v>15.145710945129395</v>
      </c>
      <c r="D38" s="259">
        <v>0.94634318351745605</v>
      </c>
      <c r="E38" s="258">
        <v>1.0090804100036621</v>
      </c>
      <c r="F38" s="265">
        <v>2020</v>
      </c>
      <c r="G38" s="265" t="s">
        <v>105</v>
      </c>
      <c r="H38" s="266">
        <v>7</v>
      </c>
      <c r="I38" s="324">
        <f t="shared" si="0"/>
        <v>15.009419264292752</v>
      </c>
    </row>
    <row r="39" spans="1:23">
      <c r="A39" s="257" t="s">
        <v>1948</v>
      </c>
      <c r="B39" s="257">
        <v>2547.1999999999998</v>
      </c>
      <c r="C39" s="258">
        <v>14.357670783996582</v>
      </c>
      <c r="D39" s="259">
        <v>0.8681938648223877</v>
      </c>
      <c r="E39" s="258">
        <v>0.92747354507446289</v>
      </c>
      <c r="F39" s="265">
        <v>2020</v>
      </c>
      <c r="G39" s="265" t="s">
        <v>105</v>
      </c>
      <c r="H39" s="266">
        <v>8</v>
      </c>
      <c r="I39" s="324">
        <f t="shared" si="0"/>
        <v>15.480410045381797</v>
      </c>
    </row>
    <row r="40" spans="1:23">
      <c r="A40" s="257" t="s">
        <v>1949</v>
      </c>
      <c r="B40" s="257">
        <v>2972.4</v>
      </c>
      <c r="C40" s="258">
        <v>15.658727645874023</v>
      </c>
      <c r="D40" s="259">
        <v>1.1254390478134155</v>
      </c>
      <c r="E40" s="258">
        <v>1.1629287004470825</v>
      </c>
      <c r="F40" s="265">
        <v>2020</v>
      </c>
      <c r="G40" s="265" t="s">
        <v>105</v>
      </c>
      <c r="H40" s="266">
        <v>9</v>
      </c>
      <c r="I40" s="324">
        <f t="shared" si="0"/>
        <v>13.46490772809554</v>
      </c>
    </row>
    <row r="41" spans="1:23" ht="15.75" thickBot="1">
      <c r="A41" s="257" t="s">
        <v>1950</v>
      </c>
      <c r="B41" s="257">
        <v>2788.8</v>
      </c>
      <c r="C41" s="258">
        <v>16.215448379516602</v>
      </c>
      <c r="D41" s="259">
        <v>1.1748826503753662</v>
      </c>
      <c r="E41" s="258">
        <v>1.3226176500320435</v>
      </c>
      <c r="F41" s="265">
        <v>2020</v>
      </c>
      <c r="G41" s="267" t="s">
        <v>105</v>
      </c>
      <c r="H41" s="268">
        <v>10</v>
      </c>
      <c r="I41" s="324">
        <f t="shared" si="0"/>
        <v>12.260117940452213</v>
      </c>
    </row>
    <row r="42" spans="1:23" ht="15.75" thickTop="1">
      <c r="A42" s="257" t="s">
        <v>1951</v>
      </c>
      <c r="C42" s="258"/>
      <c r="D42" s="259"/>
      <c r="E42" s="258"/>
      <c r="I42" s="325"/>
    </row>
    <row r="43" spans="1:23">
      <c r="A43" s="292" t="s">
        <v>1952</v>
      </c>
      <c r="B43" s="292">
        <v>2742.1</v>
      </c>
      <c r="C43" s="293">
        <v>18.945598602294922</v>
      </c>
      <c r="D43" s="294">
        <v>1.8722076416015625</v>
      </c>
      <c r="E43" s="293">
        <v>2.5308911800384521</v>
      </c>
      <c r="F43" s="295">
        <v>2020</v>
      </c>
      <c r="G43" s="295" t="s">
        <v>105</v>
      </c>
      <c r="H43" s="296" t="s">
        <v>1888</v>
      </c>
      <c r="I43" s="324">
        <f t="shared" si="0"/>
        <v>7.4857420784117155</v>
      </c>
      <c r="J43" s="297" t="str">
        <f>G43</f>
        <v>47_1000</v>
      </c>
      <c r="K43" s="298">
        <v>16</v>
      </c>
      <c r="L43" s="127" t="s">
        <v>2018</v>
      </c>
      <c r="M43" s="127"/>
      <c r="N43" s="127"/>
    </row>
    <row r="44" spans="1:23">
      <c r="A44" s="257" t="s">
        <v>1953</v>
      </c>
      <c r="B44" s="257">
        <v>3567.3</v>
      </c>
      <c r="C44" s="258">
        <v>14.937522888183594</v>
      </c>
      <c r="D44" s="259">
        <v>1.0394529104232788</v>
      </c>
      <c r="E44" s="258">
        <v>1.0447148084640503</v>
      </c>
      <c r="F44" s="265">
        <v>2020</v>
      </c>
      <c r="G44" s="265" t="s">
        <v>105</v>
      </c>
      <c r="H44" s="266">
        <v>12</v>
      </c>
      <c r="I44" s="324">
        <f t="shared" si="0"/>
        <v>14.298182400750003</v>
      </c>
      <c r="L44" s="127" t="s">
        <v>2019</v>
      </c>
      <c r="M44" s="127" t="s">
        <v>2020</v>
      </c>
      <c r="N44" s="127"/>
    </row>
    <row r="45" spans="1:23">
      <c r="A45" s="257" t="s">
        <v>1954</v>
      </c>
      <c r="B45" s="257">
        <v>2810.4</v>
      </c>
      <c r="C45" s="258">
        <v>14.958255767822266</v>
      </c>
      <c r="D45" s="259">
        <v>1.1606467962265015</v>
      </c>
      <c r="E45" s="258">
        <v>1.2871034145355225</v>
      </c>
      <c r="F45" s="265">
        <v>2020</v>
      </c>
      <c r="G45" s="265" t="s">
        <v>105</v>
      </c>
      <c r="H45" s="266">
        <v>13</v>
      </c>
      <c r="I45" s="324">
        <f t="shared" si="0"/>
        <v>11.621642518305539</v>
      </c>
      <c r="K45" t="s">
        <v>1799</v>
      </c>
      <c r="L45" s="299">
        <f>((E43-E43)/AVERAGE(E56,E56))*100</f>
        <v>0</v>
      </c>
      <c r="M45" s="299">
        <f>((C43-C56)/AVERAGE(C43,C56))*100</f>
        <v>0.5584692060031351</v>
      </c>
    </row>
    <row r="46" spans="1:23" ht="15.75">
      <c r="A46" s="257" t="s">
        <v>1955</v>
      </c>
      <c r="B46" s="257">
        <v>3523.8</v>
      </c>
      <c r="C46" s="258">
        <v>15.050312995910645</v>
      </c>
      <c r="D46" s="259">
        <v>1.0767064094543457</v>
      </c>
      <c r="E46" s="258">
        <v>1.131980299949646</v>
      </c>
      <c r="F46" s="265">
        <v>2020</v>
      </c>
      <c r="G46" s="265" t="s">
        <v>105</v>
      </c>
      <c r="H46" s="266">
        <v>14</v>
      </c>
      <c r="I46" s="324">
        <f t="shared" si="0"/>
        <v>13.295560882623247</v>
      </c>
      <c r="R46" s="226" t="s">
        <v>2021</v>
      </c>
      <c r="T46" s="226" t="s">
        <v>2022</v>
      </c>
      <c r="V46" s="34" t="s">
        <v>2021</v>
      </c>
      <c r="W46" s="34"/>
    </row>
    <row r="47" spans="1:23">
      <c r="A47" s="300" t="s">
        <v>1956</v>
      </c>
      <c r="B47" s="300">
        <v>2824.8</v>
      </c>
      <c r="C47" s="301">
        <v>14.696181297302246</v>
      </c>
      <c r="D47" s="302">
        <v>0.79373389482498169</v>
      </c>
      <c r="E47" s="301">
        <v>1.0324931144714355</v>
      </c>
      <c r="F47" s="303">
        <v>2020</v>
      </c>
      <c r="G47" s="303" t="s">
        <v>105</v>
      </c>
      <c r="H47" s="304" t="s">
        <v>2007</v>
      </c>
      <c r="I47" s="324">
        <f t="shared" si="0"/>
        <v>14.233684555684098</v>
      </c>
      <c r="J47" s="303" t="str">
        <f>G47</f>
        <v>47_1000</v>
      </c>
      <c r="K47" s="304">
        <v>15</v>
      </c>
      <c r="L47" s="127" t="s">
        <v>2018</v>
      </c>
      <c r="M47" s="127"/>
      <c r="N47" s="127"/>
      <c r="R47" s="127" t="s">
        <v>1833</v>
      </c>
      <c r="S47" s="127" t="s">
        <v>1822</v>
      </c>
      <c r="U47" s="127" t="s">
        <v>1822</v>
      </c>
      <c r="V47" s="1" t="s">
        <v>2019</v>
      </c>
      <c r="W47" s="1" t="s">
        <v>2020</v>
      </c>
    </row>
    <row r="48" spans="1:23">
      <c r="A48" s="300" t="s">
        <v>1957</v>
      </c>
      <c r="B48" s="300">
        <v>3087.2</v>
      </c>
      <c r="C48" s="301">
        <v>14.672075271606445</v>
      </c>
      <c r="D48" s="302">
        <v>0.76870185136795044</v>
      </c>
      <c r="E48" s="301">
        <v>1.0365997552871704</v>
      </c>
      <c r="F48" s="303">
        <v>2020</v>
      </c>
      <c r="G48" s="303" t="s">
        <v>105</v>
      </c>
      <c r="H48" s="304" t="s">
        <v>2008</v>
      </c>
      <c r="I48" s="324">
        <f t="shared" si="0"/>
        <v>14.15404084051884</v>
      </c>
      <c r="L48" s="127" t="s">
        <v>2019</v>
      </c>
      <c r="M48" s="127" t="s">
        <v>2020</v>
      </c>
      <c r="N48" s="127"/>
      <c r="R48" s="319" t="s">
        <v>2019</v>
      </c>
      <c r="T48" s="319" t="s">
        <v>2020</v>
      </c>
      <c r="V48" s="127" t="s">
        <v>2023</v>
      </c>
      <c r="W48" s="127"/>
    </row>
    <row r="49" spans="1:24" ht="15.75">
      <c r="A49" s="257" t="s">
        <v>1958</v>
      </c>
      <c r="B49" s="257">
        <v>531</v>
      </c>
      <c r="C49" s="258">
        <v>71.105873107910156</v>
      </c>
      <c r="D49" s="259">
        <v>6.7080145835876399</v>
      </c>
      <c r="E49" s="258">
        <v>10.371975517272899</v>
      </c>
      <c r="F49" s="265"/>
      <c r="G49" s="270" t="s">
        <v>2009</v>
      </c>
      <c r="H49" s="266"/>
      <c r="I49" s="324">
        <f t="shared" si="0"/>
        <v>6.8555766439570238</v>
      </c>
      <c r="K49" t="s">
        <v>1799</v>
      </c>
      <c r="L49" s="305">
        <f>((E47-E47)/AVERAGE(E48,E48))*100</f>
        <v>0</v>
      </c>
      <c r="M49" s="305">
        <f>((C47-C48)/AVERAGE(C47,C48))*100</f>
        <v>0.16416381843599881</v>
      </c>
      <c r="R49" s="125">
        <f>AVERAGE(E23,E34,E74:E75)</f>
        <v>0.27479299157857895</v>
      </c>
      <c r="S49" s="216">
        <f>_xlfn.STDEV.P(E23,E34,E74:E75)</f>
        <v>4.4973326879348624E-3</v>
      </c>
      <c r="T49" s="125">
        <f>AVERAGE(C23,C34,C74,C75)</f>
        <v>3.2120525240898132</v>
      </c>
      <c r="U49" s="216">
        <f>_xlfn.STDEV.P(C23,C34,C74,C75)</f>
        <v>3.3102654334887259E-2</v>
      </c>
      <c r="V49" s="320">
        <f>((E23-$R$49)/$R$49)*100</f>
        <v>-0.38214481928370059</v>
      </c>
      <c r="W49" s="320">
        <f>((C23-$T$49)/$T$49)*100</f>
        <v>1.2427643566118758</v>
      </c>
      <c r="X49" t="s">
        <v>2004</v>
      </c>
    </row>
    <row r="50" spans="1:24" ht="15.75">
      <c r="A50" s="257" t="s">
        <v>1959</v>
      </c>
      <c r="B50" s="257">
        <v>3501.6</v>
      </c>
      <c r="C50" s="258">
        <v>16.873802185058594</v>
      </c>
      <c r="D50" s="259">
        <v>1.270747184753418</v>
      </c>
      <c r="E50" s="258">
        <v>2.0877974033355713</v>
      </c>
      <c r="F50" s="265">
        <v>2020</v>
      </c>
      <c r="G50" s="265" t="s">
        <v>105</v>
      </c>
      <c r="H50" s="266" t="s">
        <v>2010</v>
      </c>
      <c r="I50" s="324">
        <f t="shared" si="0"/>
        <v>8.082107084767971</v>
      </c>
      <c r="V50" s="320">
        <f>((E34-$R$49)/$R$49)*100</f>
        <v>-1.9112989011387669</v>
      </c>
      <c r="W50" s="320">
        <f>((C34-$T$49)/$T$49)*100</f>
        <v>-0.82701205669793543</v>
      </c>
      <c r="X50" t="s">
        <v>2006</v>
      </c>
    </row>
    <row r="51" spans="1:24" ht="15.75">
      <c r="A51" s="257" t="s">
        <v>1960</v>
      </c>
      <c r="B51" s="257">
        <v>2829.3</v>
      </c>
      <c r="C51" s="258">
        <v>17.195487976074219</v>
      </c>
      <c r="D51" s="259">
        <v>1.3342355489730835</v>
      </c>
      <c r="E51" s="258">
        <v>1.5782257318496704</v>
      </c>
      <c r="F51" s="265">
        <v>2020</v>
      </c>
      <c r="G51" s="265" t="s">
        <v>105</v>
      </c>
      <c r="H51" s="266">
        <v>18</v>
      </c>
      <c r="I51" s="324">
        <f t="shared" si="0"/>
        <v>10.895455338902133</v>
      </c>
      <c r="V51" s="320">
        <f>((E74-R49)/R49)*100</f>
        <v>2.6104729257351487</v>
      </c>
      <c r="W51" s="320">
        <f>((C74-T49)/T49)*100</f>
        <v>0.77536172812342585</v>
      </c>
      <c r="X51" t="s">
        <v>2014</v>
      </c>
    </row>
    <row r="52" spans="1:24" ht="15.75">
      <c r="A52" s="257" t="s">
        <v>1961</v>
      </c>
      <c r="B52" s="257">
        <v>2805.4</v>
      </c>
      <c r="C52" s="258">
        <v>16.143436431884766</v>
      </c>
      <c r="D52" s="259">
        <v>1.0967390537261963</v>
      </c>
      <c r="E52" s="258">
        <v>1.3085955381393433</v>
      </c>
      <c r="F52" s="265">
        <v>2020</v>
      </c>
      <c r="G52" s="265" t="s">
        <v>105</v>
      </c>
      <c r="H52" s="266">
        <v>19</v>
      </c>
      <c r="I52" s="324">
        <f t="shared" si="0"/>
        <v>12.336459938445673</v>
      </c>
      <c r="V52" s="320">
        <f>((E75-R49)/R49)*100</f>
        <v>-0.31702920531268147</v>
      </c>
      <c r="W52" s="320">
        <f>((C75-T49)/T49)*100</f>
        <v>-1.191114028037366</v>
      </c>
      <c r="X52" t="s">
        <v>2015</v>
      </c>
    </row>
    <row r="53" spans="1:24" ht="15.75">
      <c r="A53" s="257" t="s">
        <v>1962</v>
      </c>
      <c r="B53" s="257">
        <v>3083.1</v>
      </c>
      <c r="C53" s="258">
        <v>16.265813827514648</v>
      </c>
      <c r="D53" s="259">
        <v>1.3220436573028564</v>
      </c>
      <c r="E53" s="258">
        <v>1.408505916595459</v>
      </c>
      <c r="F53" s="265">
        <v>2020</v>
      </c>
      <c r="G53" s="265" t="s">
        <v>105</v>
      </c>
      <c r="H53" s="266">
        <v>20</v>
      </c>
      <c r="I53" s="324">
        <f t="shared" si="0"/>
        <v>11.548275116111137</v>
      </c>
      <c r="V53" s="226" t="s">
        <v>2024</v>
      </c>
      <c r="W53" s="34"/>
    </row>
    <row r="54" spans="1:24" ht="16.5" thickBot="1">
      <c r="A54" s="257" t="s">
        <v>1963</v>
      </c>
      <c r="B54" s="257">
        <v>3306.7</v>
      </c>
      <c r="C54" s="258">
        <v>18.702775955200195</v>
      </c>
      <c r="D54" s="259">
        <v>1.7799806594848633</v>
      </c>
      <c r="E54" s="258">
        <v>1.9104586839675903</v>
      </c>
      <c r="F54" s="271">
        <v>2020</v>
      </c>
      <c r="G54" s="271" t="s">
        <v>105</v>
      </c>
      <c r="H54" s="272">
        <v>21</v>
      </c>
      <c r="I54" s="324">
        <f t="shared" si="0"/>
        <v>9.7896783176481801</v>
      </c>
      <c r="R54" s="226" t="s">
        <v>2024</v>
      </c>
      <c r="T54" s="226" t="s">
        <v>2022</v>
      </c>
      <c r="V54" s="1" t="s">
        <v>2019</v>
      </c>
      <c r="W54" s="1" t="s">
        <v>2020</v>
      </c>
    </row>
    <row r="55" spans="1:24" ht="15.75" thickTop="1">
      <c r="A55" s="257" t="s">
        <v>1964</v>
      </c>
      <c r="C55" s="258"/>
      <c r="D55" s="259"/>
      <c r="E55" s="258"/>
      <c r="I55" s="325"/>
      <c r="R55" s="127" t="s">
        <v>1833</v>
      </c>
      <c r="S55" s="127" t="s">
        <v>1822</v>
      </c>
      <c r="T55" s="127"/>
      <c r="U55" s="127" t="s">
        <v>1822</v>
      </c>
      <c r="V55" s="127" t="s">
        <v>2023</v>
      </c>
    </row>
    <row r="56" spans="1:24" ht="15.75">
      <c r="A56" s="292" t="s">
        <v>1965</v>
      </c>
      <c r="B56" s="292">
        <v>3448.2</v>
      </c>
      <c r="C56" s="293">
        <v>18.840087890625</v>
      </c>
      <c r="D56" s="294">
        <v>2.0211091041564941</v>
      </c>
      <c r="E56" s="293">
        <v>2.4723563194274902</v>
      </c>
      <c r="F56" s="295">
        <v>2020</v>
      </c>
      <c r="G56" s="295" t="s">
        <v>105</v>
      </c>
      <c r="H56" s="296" t="s">
        <v>1887</v>
      </c>
      <c r="I56" s="324">
        <f t="shared" si="0"/>
        <v>7.6202963717574876</v>
      </c>
      <c r="R56" s="319" t="s">
        <v>2019</v>
      </c>
      <c r="T56" s="319" t="s">
        <v>2020</v>
      </c>
      <c r="V56" s="320">
        <f>((E49-R57)/R57)*100</f>
        <v>2.3625901901169921E-2</v>
      </c>
      <c r="W56" s="320">
        <f>((C49-T57)/T57)*100</f>
        <v>-2.4543359953736771E-2</v>
      </c>
      <c r="X56" s="321" t="s">
        <v>2009</v>
      </c>
    </row>
    <row r="57" spans="1:24" ht="15.75">
      <c r="A57" s="257" t="s">
        <v>1966</v>
      </c>
      <c r="B57" s="257">
        <v>2684.5</v>
      </c>
      <c r="C57" s="258">
        <v>13.865879058837891</v>
      </c>
      <c r="D57" s="259">
        <v>0.78907561302185059</v>
      </c>
      <c r="E57" s="258">
        <v>0.94305235147476196</v>
      </c>
      <c r="F57" s="265">
        <v>2020</v>
      </c>
      <c r="G57" s="265" t="s">
        <v>108</v>
      </c>
      <c r="H57" s="265">
        <v>1</v>
      </c>
      <c r="I57" s="324">
        <f t="shared" si="0"/>
        <v>14.703191224913637</v>
      </c>
      <c r="R57" s="125">
        <f>AVERAGE(E49,E66,E85:E86)</f>
        <v>10.369525623321517</v>
      </c>
      <c r="S57" s="216">
        <f>_xlfn.STDEV.P(E49,E66,E85:E86)</f>
        <v>4.5023401305220291E-2</v>
      </c>
      <c r="T57" s="125">
        <f>AVERAGE(C49,C66,C85:C86)</f>
        <v>71.123329162597614</v>
      </c>
      <c r="U57" s="216">
        <f>_xlfn.STDEV.P(C49,C66,C85:C86)</f>
        <v>5.4397175331243407E-2</v>
      </c>
      <c r="V57" s="320">
        <f>((E66-R57)/R57)*100</f>
        <v>-0.70955603399623368</v>
      </c>
      <c r="W57" s="320">
        <f>((C66-T57)/T57)*100</f>
        <v>9.3118880719815028E-2</v>
      </c>
      <c r="X57" s="321" t="s">
        <v>2013</v>
      </c>
    </row>
    <row r="58" spans="1:24" ht="15.75">
      <c r="A58" s="306" t="s">
        <v>1967</v>
      </c>
      <c r="B58" s="306">
        <v>3004.3</v>
      </c>
      <c r="C58" s="307">
        <v>14.813459396362305</v>
      </c>
      <c r="D58" s="308">
        <v>0.97999817132949829</v>
      </c>
      <c r="E58" s="307">
        <v>1.0229183435440063</v>
      </c>
      <c r="F58" s="309">
        <v>2020</v>
      </c>
      <c r="G58" s="309" t="s">
        <v>108</v>
      </c>
      <c r="H58" s="310" t="s">
        <v>2011</v>
      </c>
      <c r="I58" s="324">
        <f t="shared" si="0"/>
        <v>14.481565894145122</v>
      </c>
      <c r="J58" s="309" t="str">
        <f>G58</f>
        <v>47_2000</v>
      </c>
      <c r="K58" s="310">
        <v>2</v>
      </c>
      <c r="L58" s="127" t="s">
        <v>2018</v>
      </c>
      <c r="M58" s="127"/>
      <c r="N58" s="127"/>
      <c r="V58" s="322">
        <f>((E85-R57)/R57)*100</f>
        <v>0.42900109302346484</v>
      </c>
      <c r="W58" s="322">
        <f>((C85-T57)/T57)*100</f>
        <v>4.2438129654307308E-2</v>
      </c>
      <c r="X58" s="321" t="s">
        <v>2016</v>
      </c>
    </row>
    <row r="59" spans="1:24" ht="15.75">
      <c r="A59" s="306" t="s">
        <v>1968</v>
      </c>
      <c r="B59" s="306">
        <v>3038.8</v>
      </c>
      <c r="C59" s="307">
        <v>14.846558570861816</v>
      </c>
      <c r="D59" s="308">
        <v>1.0197715759277344</v>
      </c>
      <c r="E59" s="307">
        <v>1.0313595533370972</v>
      </c>
      <c r="F59" s="309">
        <v>2020</v>
      </c>
      <c r="G59" s="309" t="s">
        <v>108</v>
      </c>
      <c r="H59" s="310" t="s">
        <v>2012</v>
      </c>
      <c r="I59" s="324">
        <f t="shared" si="0"/>
        <v>14.395133610605397</v>
      </c>
      <c r="L59" s="127" t="s">
        <v>2019</v>
      </c>
      <c r="M59" s="127" t="s">
        <v>2020</v>
      </c>
      <c r="N59" s="127"/>
      <c r="V59" s="320">
        <f>((E86-R57)/R57)*100</f>
        <v>0.25692903907159897</v>
      </c>
      <c r="W59" s="320">
        <f>((C86-T57)/T57)*100</f>
        <v>-0.11101365042040554</v>
      </c>
      <c r="X59" s="321" t="s">
        <v>2017</v>
      </c>
    </row>
    <row r="60" spans="1:24">
      <c r="A60" s="257" t="s">
        <v>1969</v>
      </c>
      <c r="B60" s="257">
        <v>3213.1</v>
      </c>
      <c r="C60" s="258">
        <v>14.743440628051758</v>
      </c>
      <c r="D60" s="259">
        <v>0.971019446849823</v>
      </c>
      <c r="E60" s="258">
        <v>1.1036072969436646</v>
      </c>
      <c r="F60" s="265">
        <v>2020</v>
      </c>
      <c r="G60" s="265" t="s">
        <v>108</v>
      </c>
      <c r="H60" s="266">
        <v>3</v>
      </c>
      <c r="I60" s="324">
        <f t="shared" si="0"/>
        <v>13.359317819737432</v>
      </c>
      <c r="K60" t="s">
        <v>1799</v>
      </c>
      <c r="L60" s="311">
        <f>((E58-E58)/AVERAGE(E59,E59))*100</f>
        <v>0</v>
      </c>
      <c r="M60" s="311">
        <f>((C58-C59)/AVERAGE(C58,C59))*100</f>
        <v>-0.22319052224505087</v>
      </c>
    </row>
    <row r="61" spans="1:24">
      <c r="A61" s="257" t="s">
        <v>1970</v>
      </c>
      <c r="B61" s="257">
        <v>3461.4</v>
      </c>
      <c r="C61" s="258">
        <v>14.3856201171875</v>
      </c>
      <c r="D61" s="259">
        <v>0.90449792146682739</v>
      </c>
      <c r="E61" s="258">
        <v>0.97466748952865601</v>
      </c>
      <c r="F61" s="265">
        <v>2020</v>
      </c>
      <c r="G61" s="265" t="s">
        <v>108</v>
      </c>
      <c r="H61" s="266">
        <v>4</v>
      </c>
      <c r="I61" s="324">
        <f t="shared" si="0"/>
        <v>14.75951570329314</v>
      </c>
    </row>
    <row r="62" spans="1:24">
      <c r="A62" s="257" t="s">
        <v>1971</v>
      </c>
      <c r="B62" s="257">
        <v>2751.1</v>
      </c>
      <c r="C62" s="258">
        <v>13.999913215637207</v>
      </c>
      <c r="D62" s="259">
        <v>0.74862122535705566</v>
      </c>
      <c r="E62" s="258">
        <v>0.81766867637634277</v>
      </c>
      <c r="F62" s="265">
        <v>2020</v>
      </c>
      <c r="G62" s="265" t="s">
        <v>108</v>
      </c>
      <c r="H62" s="266">
        <v>5</v>
      </c>
      <c r="I62" s="324">
        <f t="shared" si="0"/>
        <v>17.121743341912687</v>
      </c>
    </row>
    <row r="63" spans="1:24">
      <c r="A63" s="257" t="s">
        <v>1972</v>
      </c>
      <c r="B63" s="257">
        <v>3100.5</v>
      </c>
      <c r="C63" s="258">
        <v>13.45853328704834</v>
      </c>
      <c r="D63" s="259">
        <v>0.66383230686187744</v>
      </c>
      <c r="E63" s="258">
        <v>0.70571339130401611</v>
      </c>
      <c r="F63" s="265">
        <v>2020</v>
      </c>
      <c r="G63" s="265" t="s">
        <v>108</v>
      </c>
      <c r="H63" s="266">
        <v>6</v>
      </c>
      <c r="I63" s="324">
        <f t="shared" si="0"/>
        <v>19.070820325769478</v>
      </c>
    </row>
    <row r="64" spans="1:24">
      <c r="A64" s="257" t="s">
        <v>1973</v>
      </c>
      <c r="B64" s="257">
        <v>3431.1</v>
      </c>
      <c r="C64" s="258">
        <v>13.810207366943359</v>
      </c>
      <c r="D64" s="259">
        <v>0.74896252155303955</v>
      </c>
      <c r="E64" s="258">
        <v>0.73953312635421753</v>
      </c>
      <c r="F64" s="265">
        <v>2020</v>
      </c>
      <c r="G64" s="265" t="s">
        <v>108</v>
      </c>
      <c r="H64" s="266">
        <v>7</v>
      </c>
      <c r="I64" s="324">
        <f t="shared" si="0"/>
        <v>18.674224148721393</v>
      </c>
    </row>
    <row r="65" spans="1:14">
      <c r="A65" s="257" t="s">
        <v>1974</v>
      </c>
      <c r="B65" s="257">
        <v>3144.2</v>
      </c>
      <c r="C65" s="258">
        <v>13.826024055480957</v>
      </c>
      <c r="D65" s="259">
        <v>0.72539544105529785</v>
      </c>
      <c r="E65" s="258">
        <v>0.75847733020782471</v>
      </c>
      <c r="F65" s="265">
        <v>2020</v>
      </c>
      <c r="G65" s="265" t="s">
        <v>108</v>
      </c>
      <c r="H65" s="266">
        <v>8</v>
      </c>
      <c r="I65" s="324">
        <f t="shared" si="0"/>
        <v>18.22865826681015</v>
      </c>
    </row>
    <row r="66" spans="1:14">
      <c r="A66" s="257" t="s">
        <v>1975</v>
      </c>
      <c r="B66" s="257">
        <v>601.4</v>
      </c>
      <c r="C66" s="258">
        <v>71.189558410644494</v>
      </c>
      <c r="D66" s="259">
        <v>6.6811959266662502</v>
      </c>
      <c r="E66" s="258">
        <v>10.295948028564453</v>
      </c>
      <c r="F66" s="265"/>
      <c r="G66" s="265" t="s">
        <v>2013</v>
      </c>
      <c r="H66" s="266"/>
      <c r="I66" s="324">
        <f t="shared" si="0"/>
        <v>6.9143276765908785</v>
      </c>
    </row>
    <row r="67" spans="1:14" ht="15.75" thickBot="1">
      <c r="A67" s="257" t="s">
        <v>1976</v>
      </c>
      <c r="B67" s="257">
        <v>3238.6</v>
      </c>
      <c r="C67" s="258">
        <v>13.597410202026367</v>
      </c>
      <c r="D67" s="259">
        <v>0.75607460737228394</v>
      </c>
      <c r="E67" s="258">
        <v>0.74714404344558716</v>
      </c>
      <c r="F67" s="271">
        <v>2020</v>
      </c>
      <c r="G67" s="271" t="s">
        <v>108</v>
      </c>
      <c r="H67" s="272">
        <v>9</v>
      </c>
      <c r="I67" s="324">
        <f t="shared" si="0"/>
        <v>18.199181699046278</v>
      </c>
    </row>
    <row r="68" spans="1:14" ht="15.75" thickTop="1">
      <c r="A68" s="257" t="s">
        <v>1977</v>
      </c>
      <c r="C68" s="258"/>
      <c r="D68" s="259"/>
      <c r="E68" s="258"/>
      <c r="I68" s="325"/>
    </row>
    <row r="69" spans="1:14">
      <c r="A69" s="257" t="s">
        <v>1978</v>
      </c>
      <c r="B69" s="257">
        <v>2594.1999999999998</v>
      </c>
      <c r="C69" s="258">
        <v>13.552042961120605</v>
      </c>
      <c r="D69" s="259">
        <v>0.80666041374206543</v>
      </c>
      <c r="E69" s="258">
        <v>0.85094332695007324</v>
      </c>
      <c r="F69" s="215">
        <v>2020</v>
      </c>
      <c r="G69" s="215" t="s">
        <v>108</v>
      </c>
      <c r="H69" s="219">
        <v>10</v>
      </c>
      <c r="I69" s="324">
        <f t="shared" si="0"/>
        <v>15.925905441545034</v>
      </c>
    </row>
    <row r="70" spans="1:14">
      <c r="A70" s="257" t="s">
        <v>1979</v>
      </c>
      <c r="B70" s="257">
        <v>3352.7</v>
      </c>
      <c r="C70" s="258">
        <v>13.333328247070313</v>
      </c>
      <c r="D70" s="259">
        <v>1.1699302196502686</v>
      </c>
      <c r="E70" s="258">
        <v>0.94212967157363892</v>
      </c>
      <c r="F70" s="265">
        <v>2020</v>
      </c>
      <c r="G70" s="265" t="s">
        <v>108</v>
      </c>
      <c r="H70" s="266">
        <v>11</v>
      </c>
      <c r="I70" s="324">
        <f t="shared" ref="I70:I80" si="1">C70/E70</f>
        <v>14.152328123579483</v>
      </c>
    </row>
    <row r="71" spans="1:14">
      <c r="A71" s="257" t="s">
        <v>1980</v>
      </c>
      <c r="B71" s="257">
        <v>2703.6</v>
      </c>
      <c r="C71" s="258">
        <v>13.47187328338623</v>
      </c>
      <c r="D71" s="259">
        <v>0.86228984594345093</v>
      </c>
      <c r="E71" s="258">
        <v>0.82743889093399048</v>
      </c>
      <c r="F71" s="265">
        <v>2020</v>
      </c>
      <c r="G71" s="265" t="s">
        <v>108</v>
      </c>
      <c r="H71" s="219">
        <v>12</v>
      </c>
      <c r="I71" s="324">
        <f t="shared" si="1"/>
        <v>16.281411752570087</v>
      </c>
    </row>
    <row r="72" spans="1:14">
      <c r="A72" s="312" t="s">
        <v>1981</v>
      </c>
      <c r="B72" s="312">
        <v>2913.3</v>
      </c>
      <c r="C72" s="313">
        <v>12.883601188659668</v>
      </c>
      <c r="D72" s="314">
        <v>0.97477430105209351</v>
      </c>
      <c r="E72" s="313">
        <v>0.87875699996948242</v>
      </c>
      <c r="F72" s="315">
        <v>2020</v>
      </c>
      <c r="G72" s="315" t="s">
        <v>108</v>
      </c>
      <c r="H72" s="316" t="s">
        <v>1890</v>
      </c>
      <c r="I72" s="324">
        <f t="shared" si="1"/>
        <v>14.661164791981276</v>
      </c>
      <c r="J72" s="315" t="str">
        <f>G72</f>
        <v>47_2000</v>
      </c>
      <c r="K72" s="316">
        <v>2</v>
      </c>
      <c r="L72" s="127" t="s">
        <v>2018</v>
      </c>
      <c r="M72" s="127"/>
      <c r="N72" s="127"/>
    </row>
    <row r="73" spans="1:14">
      <c r="A73" s="257" t="s">
        <v>1982</v>
      </c>
      <c r="B73" s="257">
        <v>3541.7</v>
      </c>
      <c r="C73" s="258">
        <v>13.06114387512207</v>
      </c>
      <c r="D73" s="259">
        <v>0.79497498273849487</v>
      </c>
      <c r="E73" s="258">
        <v>0.77106380462646484</v>
      </c>
      <c r="F73" s="265">
        <v>2020</v>
      </c>
      <c r="G73" s="265" t="s">
        <v>108</v>
      </c>
      <c r="H73" s="266">
        <v>14</v>
      </c>
      <c r="I73" s="324">
        <f t="shared" si="1"/>
        <v>16.939122024343273</v>
      </c>
      <c r="L73" s="127" t="s">
        <v>2019</v>
      </c>
      <c r="M73" s="127" t="s">
        <v>2020</v>
      </c>
      <c r="N73" s="127"/>
    </row>
    <row r="74" spans="1:14">
      <c r="A74" s="257" t="s">
        <v>1983</v>
      </c>
      <c r="B74" s="257">
        <v>3230.7</v>
      </c>
      <c r="C74" s="258">
        <v>3.2369575500488281</v>
      </c>
      <c r="D74" s="259">
        <v>0.68087480068206696</v>
      </c>
      <c r="E74" s="258">
        <v>0.28196638822555542</v>
      </c>
      <c r="F74" s="265"/>
      <c r="G74" s="265" t="s">
        <v>2014</v>
      </c>
      <c r="H74" s="266"/>
      <c r="I74" s="324">
        <f t="shared" si="1"/>
        <v>11.479941174617824</v>
      </c>
      <c r="K74" t="s">
        <v>1799</v>
      </c>
      <c r="L74" s="318">
        <f>((E72-E72)/AVERAGE(E84,E84))*100</f>
        <v>0</v>
      </c>
      <c r="M74" s="318">
        <f>((C72-C84)/AVERAGE(C72,C84))*100</f>
        <v>-1.86639105730334</v>
      </c>
    </row>
    <row r="75" spans="1:14">
      <c r="A75" s="257" t="s">
        <v>1984</v>
      </c>
      <c r="B75" s="257">
        <v>3065.3</v>
      </c>
      <c r="C75" s="258">
        <v>3.1737933158874512</v>
      </c>
      <c r="D75" s="259">
        <v>0.64832071065902697</v>
      </c>
      <c r="E75" s="258">
        <v>0.27392181754112244</v>
      </c>
      <c r="F75" s="265"/>
      <c r="G75" s="265" t="s">
        <v>2015</v>
      </c>
      <c r="H75" s="266"/>
      <c r="I75" s="324">
        <f t="shared" si="1"/>
        <v>11.586493344623731</v>
      </c>
    </row>
    <row r="76" spans="1:14">
      <c r="A76" s="257" t="s">
        <v>1985</v>
      </c>
      <c r="B76" s="257">
        <v>3265.5</v>
      </c>
      <c r="C76" s="258">
        <v>13.275106430053711</v>
      </c>
      <c r="D76" s="259">
        <v>0.64448803663253784</v>
      </c>
      <c r="E76" s="258">
        <v>0.69120252132415771</v>
      </c>
      <c r="F76" s="265">
        <v>2020</v>
      </c>
      <c r="G76" s="265" t="s">
        <v>108</v>
      </c>
      <c r="H76" s="266">
        <v>15</v>
      </c>
      <c r="I76" s="324">
        <f t="shared" si="1"/>
        <v>19.205813087345494</v>
      </c>
    </row>
    <row r="77" spans="1:14">
      <c r="A77" s="257" t="s">
        <v>1986</v>
      </c>
      <c r="B77" s="257">
        <v>2842.7</v>
      </c>
      <c r="C77" s="258">
        <v>13.321050643920898</v>
      </c>
      <c r="D77" s="259">
        <v>0.62419801950454712</v>
      </c>
      <c r="E77" s="258">
        <v>0.71226668357849121</v>
      </c>
      <c r="F77" s="265">
        <v>2020</v>
      </c>
      <c r="G77" s="265" t="s">
        <v>108</v>
      </c>
      <c r="H77" s="266">
        <v>16</v>
      </c>
      <c r="I77" s="324">
        <f t="shared" si="1"/>
        <v>18.702335727672612</v>
      </c>
    </row>
    <row r="78" spans="1:14">
      <c r="A78" s="257" t="s">
        <v>1987</v>
      </c>
      <c r="B78" s="257">
        <v>3084.2</v>
      </c>
      <c r="C78" s="258">
        <v>13.42512035369873</v>
      </c>
      <c r="D78" s="259">
        <v>0.66151225566864014</v>
      </c>
      <c r="E78" s="258">
        <v>0.72834450006484985</v>
      </c>
      <c r="F78" s="265">
        <v>2020</v>
      </c>
      <c r="G78" s="265" t="s">
        <v>108</v>
      </c>
      <c r="H78" s="266">
        <v>17</v>
      </c>
      <c r="I78" s="324">
        <f t="shared" si="1"/>
        <v>18.432376921228062</v>
      </c>
    </row>
    <row r="79" spans="1:14">
      <c r="A79" s="257" t="s">
        <v>1988</v>
      </c>
      <c r="B79" s="257">
        <v>3500.2</v>
      </c>
      <c r="C79" s="258">
        <v>14.07595157623291</v>
      </c>
      <c r="D79" s="259">
        <v>0.72730231285095215</v>
      </c>
      <c r="E79" s="258">
        <v>0.75182080268859863</v>
      </c>
      <c r="F79" s="265">
        <v>2020</v>
      </c>
      <c r="G79" s="265" t="s">
        <v>108</v>
      </c>
      <c r="H79" s="266">
        <v>18</v>
      </c>
      <c r="I79" s="324">
        <f t="shared" si="1"/>
        <v>18.72248217380481</v>
      </c>
    </row>
    <row r="80" spans="1:14" ht="15.75" thickBot="1">
      <c r="A80" s="257" t="s">
        <v>1989</v>
      </c>
      <c r="B80" s="257">
        <v>3210.6</v>
      </c>
      <c r="C80" s="258">
        <v>14.142654418945313</v>
      </c>
      <c r="D80" s="259">
        <v>0.75201159715652466</v>
      </c>
      <c r="E80" s="258">
        <v>0.76021409034729004</v>
      </c>
      <c r="F80" s="271">
        <v>2020</v>
      </c>
      <c r="G80" s="271" t="s">
        <v>108</v>
      </c>
      <c r="H80" s="272">
        <v>19</v>
      </c>
      <c r="I80" s="324">
        <f t="shared" si="1"/>
        <v>18.603515244612865</v>
      </c>
    </row>
    <row r="81" spans="1:9" ht="15.75" thickTop="1">
      <c r="A81" s="257" t="s">
        <v>1990</v>
      </c>
      <c r="C81" s="258"/>
      <c r="D81" s="259"/>
      <c r="E81" s="258"/>
      <c r="I81" s="325"/>
    </row>
    <row r="82" spans="1:9">
      <c r="A82" s="257" t="s">
        <v>1991</v>
      </c>
      <c r="B82" s="257">
        <v>3232.8</v>
      </c>
      <c r="C82" s="258">
        <v>15.354694366455078</v>
      </c>
      <c r="D82" s="259">
        <v>1.1426252126693726</v>
      </c>
      <c r="E82" s="258">
        <v>1.0963776111602783</v>
      </c>
      <c r="F82" s="215">
        <v>2020</v>
      </c>
      <c r="G82" s="215" t="s">
        <v>108</v>
      </c>
      <c r="H82" s="219">
        <v>20</v>
      </c>
      <c r="I82" s="324">
        <f t="shared" ref="I82:I86" si="2">C82/E82</f>
        <v>14.004932434004612</v>
      </c>
    </row>
    <row r="83" spans="1:9">
      <c r="A83" s="257" t="s">
        <v>1992</v>
      </c>
      <c r="B83" s="257">
        <v>3190.2</v>
      </c>
      <c r="C83" s="258">
        <v>15.820767402648926</v>
      </c>
      <c r="D83" s="259">
        <v>1.2575947046279907</v>
      </c>
      <c r="E83" s="258">
        <v>1.2122112512588501</v>
      </c>
      <c r="F83" s="265">
        <v>2020</v>
      </c>
      <c r="G83" s="265" t="s">
        <v>108</v>
      </c>
      <c r="H83" s="266">
        <v>21</v>
      </c>
      <c r="I83" s="324">
        <f t="shared" si="2"/>
        <v>13.051163636882158</v>
      </c>
    </row>
    <row r="84" spans="1:9">
      <c r="A84" s="312" t="s">
        <v>1993</v>
      </c>
      <c r="B84" s="312">
        <v>3024.7</v>
      </c>
      <c r="C84" s="313">
        <v>13.126324653625488</v>
      </c>
      <c r="D84" s="314">
        <v>1.0311630964279175</v>
      </c>
      <c r="E84" s="313">
        <v>0.87507027387619019</v>
      </c>
      <c r="F84" s="315">
        <v>2020</v>
      </c>
      <c r="G84" s="315" t="s">
        <v>108</v>
      </c>
      <c r="H84" s="317" t="s">
        <v>1891</v>
      </c>
      <c r="I84" s="324">
        <f t="shared" si="2"/>
        <v>15.000309170006927</v>
      </c>
    </row>
    <row r="85" spans="1:9">
      <c r="A85" s="257" t="s">
        <v>1994</v>
      </c>
      <c r="B85" s="257">
        <v>682.9</v>
      </c>
      <c r="C85" s="258">
        <v>71.153512573242097</v>
      </c>
      <c r="D85" s="259">
        <v>6.6116447448730469</v>
      </c>
      <c r="E85" s="258">
        <v>10.414011001586914</v>
      </c>
      <c r="F85" s="265"/>
      <c r="G85" s="270" t="s">
        <v>2016</v>
      </c>
      <c r="H85" s="266"/>
      <c r="I85" s="324">
        <f t="shared" si="2"/>
        <v>6.8324791055434391</v>
      </c>
    </row>
    <row r="86" spans="1:9">
      <c r="A86" s="257" t="s">
        <v>1995</v>
      </c>
      <c r="B86" s="257">
        <v>578.9</v>
      </c>
      <c r="C86" s="258">
        <v>71.044372558593693</v>
      </c>
      <c r="D86" s="259">
        <v>6.6709599494934082</v>
      </c>
      <c r="E86" s="258">
        <v>10.3961679458618</v>
      </c>
      <c r="F86" s="265"/>
      <c r="G86" s="273" t="s">
        <v>2017</v>
      </c>
      <c r="H86" s="262"/>
      <c r="I86" s="324">
        <f t="shared" si="2"/>
        <v>6.8337076631080151</v>
      </c>
    </row>
    <row r="87" spans="1:9">
      <c r="B87" s="257"/>
    </row>
    <row r="88" spans="1:9">
      <c r="A88" t="s">
        <v>1996</v>
      </c>
      <c r="B88" s="257"/>
    </row>
    <row r="89" spans="1:9">
      <c r="A89" t="s">
        <v>1997</v>
      </c>
      <c r="B89" s="257"/>
    </row>
    <row r="90" spans="1:9">
      <c r="B90" s="257"/>
    </row>
    <row r="91" spans="1:9">
      <c r="B91" s="257"/>
    </row>
    <row r="92" spans="1:9">
      <c r="B92" s="257"/>
    </row>
    <row r="93" spans="1:9">
      <c r="B93" s="257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322E6-056A-4510-A2B1-258FE80E395F}">
  <dimension ref="A1:V105"/>
  <sheetViews>
    <sheetView topLeftCell="N16" workbookViewId="0">
      <selection activeCell="U33" sqref="U33"/>
    </sheetView>
  </sheetViews>
  <sheetFormatPr defaultRowHeight="15"/>
  <cols>
    <col min="3" max="3" width="10" bestFit="1" customWidth="1"/>
    <col min="4" max="4" width="16.7109375" bestFit="1" customWidth="1"/>
    <col min="6" max="6" width="15.7109375" customWidth="1"/>
    <col min="7" max="7" width="26.7109375" customWidth="1"/>
    <col min="14" max="14" width="10.85546875" customWidth="1"/>
    <col min="15" max="15" width="15.7109375" customWidth="1"/>
    <col min="16" max="16" width="16.42578125" customWidth="1"/>
    <col min="21" max="21" width="14.5703125" customWidth="1"/>
    <col min="22" max="22" width="12.28515625" customWidth="1"/>
  </cols>
  <sheetData>
    <row r="1" spans="1:8">
      <c r="A1" t="s">
        <v>2236</v>
      </c>
    </row>
    <row r="3" spans="1:8" ht="18">
      <c r="A3" s="579" t="s">
        <v>2202</v>
      </c>
      <c r="B3" s="571"/>
      <c r="C3" s="571"/>
      <c r="D3" s="571"/>
      <c r="E3" s="571"/>
      <c r="F3" s="571"/>
      <c r="G3" s="571"/>
      <c r="H3" s="571"/>
    </row>
    <row r="5" spans="1:8">
      <c r="A5" s="377" t="s">
        <v>2203</v>
      </c>
      <c r="B5" s="580" t="s">
        <v>2204</v>
      </c>
      <c r="C5" s="581"/>
      <c r="E5" s="582" t="s">
        <v>2205</v>
      </c>
      <c r="F5" s="583"/>
      <c r="G5" s="583"/>
      <c r="H5" s="581"/>
    </row>
    <row r="6" spans="1:8">
      <c r="A6" s="378" t="s">
        <v>2206</v>
      </c>
      <c r="B6" s="584">
        <v>44460</v>
      </c>
      <c r="C6" s="585"/>
      <c r="E6" s="586" t="s">
        <v>2207</v>
      </c>
      <c r="F6" s="571"/>
      <c r="G6" s="571"/>
      <c r="H6" s="585"/>
    </row>
    <row r="7" spans="1:8">
      <c r="A7" s="378" t="s">
        <v>2208</v>
      </c>
      <c r="B7" s="584" t="s">
        <v>2204</v>
      </c>
      <c r="C7" s="585"/>
      <c r="E7" s="586" t="s">
        <v>2209</v>
      </c>
      <c r="F7" s="571"/>
      <c r="G7" s="571"/>
      <c r="H7" s="585"/>
    </row>
    <row r="8" spans="1:8">
      <c r="A8" s="379" t="s">
        <v>2210</v>
      </c>
      <c r="B8" s="587" t="s">
        <v>2211</v>
      </c>
      <c r="C8" s="588"/>
      <c r="E8" s="589" t="s">
        <v>2212</v>
      </c>
      <c r="F8" s="590"/>
      <c r="G8" s="590"/>
      <c r="H8" s="588"/>
    </row>
    <row r="10" spans="1:8">
      <c r="A10" s="380" t="s">
        <v>2213</v>
      </c>
      <c r="B10" s="591" t="s">
        <v>2214</v>
      </c>
      <c r="C10" s="592"/>
      <c r="D10" s="593"/>
      <c r="F10" s="381" t="s">
        <v>2215</v>
      </c>
    </row>
    <row r="11" spans="1:8">
      <c r="B11" s="570" t="s">
        <v>2216</v>
      </c>
      <c r="C11" s="571"/>
      <c r="D11" s="572"/>
      <c r="F11" s="594" t="s">
        <v>2217</v>
      </c>
      <c r="G11" s="571"/>
      <c r="H11">
        <v>77</v>
      </c>
    </row>
    <row r="12" spans="1:8">
      <c r="B12" s="570"/>
      <c r="C12" s="571"/>
      <c r="D12" s="572"/>
      <c r="F12" s="578" t="s">
        <v>2218</v>
      </c>
      <c r="G12" s="571"/>
      <c r="H12" s="571"/>
    </row>
    <row r="13" spans="1:8">
      <c r="B13" s="570"/>
      <c r="C13" s="571"/>
      <c r="D13" s="572"/>
    </row>
    <row r="14" spans="1:8">
      <c r="B14" s="570" t="s">
        <v>2219</v>
      </c>
      <c r="C14" s="571"/>
      <c r="D14" s="572"/>
    </row>
    <row r="15" spans="1:8">
      <c r="B15" s="573" t="s">
        <v>2220</v>
      </c>
      <c r="C15" s="574"/>
      <c r="D15" s="575"/>
    </row>
    <row r="19" spans="1:22">
      <c r="A19" s="380" t="s">
        <v>2221</v>
      </c>
      <c r="B19" s="576" t="s">
        <v>2222</v>
      </c>
      <c r="C19" s="571"/>
      <c r="D19" s="571"/>
      <c r="E19" s="571"/>
      <c r="F19" s="571"/>
      <c r="G19" s="571"/>
    </row>
    <row r="20" spans="1:22">
      <c r="B20" s="571"/>
      <c r="C20" s="571"/>
      <c r="D20" s="571"/>
      <c r="E20" s="571"/>
      <c r="F20" s="571"/>
      <c r="G20" s="571"/>
      <c r="H20" s="382" t="s">
        <v>2230</v>
      </c>
    </row>
    <row r="21" spans="1:22">
      <c r="B21" s="571"/>
      <c r="C21" s="571"/>
      <c r="D21" s="571"/>
      <c r="E21" s="571"/>
      <c r="F21" s="571"/>
      <c r="G21" s="571"/>
      <c r="H21" s="382"/>
    </row>
    <row r="22" spans="1:22">
      <c r="B22" s="571"/>
      <c r="C22" s="571"/>
      <c r="D22" s="571"/>
      <c r="E22" s="571"/>
      <c r="F22" s="571"/>
      <c r="G22" s="571"/>
      <c r="H22" s="382" t="s">
        <v>2231</v>
      </c>
    </row>
    <row r="23" spans="1:22">
      <c r="B23" s="571"/>
      <c r="C23" s="571"/>
      <c r="D23" s="571"/>
      <c r="E23" s="571"/>
      <c r="F23" s="571"/>
      <c r="G23" s="571"/>
    </row>
    <row r="25" spans="1:22">
      <c r="B25" s="577" t="s">
        <v>2223</v>
      </c>
      <c r="C25" s="571"/>
      <c r="D25" s="571"/>
      <c r="E25" s="571"/>
      <c r="F25" s="571"/>
      <c r="G25" s="571"/>
    </row>
    <row r="26" spans="1:22" ht="15.75">
      <c r="B26" s="571"/>
      <c r="C26" s="571"/>
      <c r="D26" s="571"/>
      <c r="E26" s="571"/>
      <c r="F26" s="571"/>
      <c r="G26" s="571"/>
      <c r="N26" s="1" t="s">
        <v>2247</v>
      </c>
      <c r="O26" s="1"/>
      <c r="P26" s="1"/>
      <c r="Q26" s="409" t="s">
        <v>2248</v>
      </c>
      <c r="R26" s="233"/>
      <c r="S26" s="233"/>
      <c r="T26" s="410">
        <f>AVERAGE(E39,E74,E86,E103)</f>
        <v>1.1499999999999999</v>
      </c>
      <c r="U26" s="411" t="s">
        <v>2249</v>
      </c>
      <c r="V26" s="411" t="s">
        <v>2250</v>
      </c>
    </row>
    <row r="27" spans="1:22" ht="51.75">
      <c r="N27" s="1" t="s">
        <v>2251</v>
      </c>
      <c r="O27" s="1" t="s">
        <v>2252</v>
      </c>
      <c r="P27" s="408" t="s">
        <v>2253</v>
      </c>
      <c r="Q27" s="412"/>
      <c r="T27" s="227"/>
      <c r="U27" s="226"/>
      <c r="V27" s="226"/>
    </row>
    <row r="28" spans="1:22" ht="90">
      <c r="A28" s="1" t="s">
        <v>2224</v>
      </c>
      <c r="B28" s="1" t="s">
        <v>2225</v>
      </c>
      <c r="C28" s="1" t="s">
        <v>2226</v>
      </c>
      <c r="D28" s="1" t="s">
        <v>2227</v>
      </c>
      <c r="E28" s="1" t="s">
        <v>2228</v>
      </c>
      <c r="G28" t="s">
        <v>2237</v>
      </c>
      <c r="H28" t="s">
        <v>2238</v>
      </c>
      <c r="I28" t="s">
        <v>165</v>
      </c>
      <c r="J28" t="s">
        <v>164</v>
      </c>
      <c r="K28" t="s">
        <v>163</v>
      </c>
      <c r="L28" t="s">
        <v>2030</v>
      </c>
      <c r="M28" s="64"/>
      <c r="N28" s="408" t="s">
        <v>2241</v>
      </c>
      <c r="O28" s="1" t="s">
        <v>2242</v>
      </c>
      <c r="P28" s="1" t="s">
        <v>2242</v>
      </c>
      <c r="Q28" s="1" t="s">
        <v>2243</v>
      </c>
      <c r="R28" s="1" t="s">
        <v>2244</v>
      </c>
      <c r="S28" s="420" t="s">
        <v>2245</v>
      </c>
      <c r="T28" s="420" t="s">
        <v>2246</v>
      </c>
      <c r="U28" s="127" t="s">
        <v>2390</v>
      </c>
      <c r="V28" s="127"/>
    </row>
    <row r="29" spans="1:22">
      <c r="A29">
        <v>22471</v>
      </c>
      <c r="B29" t="s">
        <v>105</v>
      </c>
      <c r="C29">
        <v>1</v>
      </c>
      <c r="D29" t="s">
        <v>2229</v>
      </c>
      <c r="E29">
        <v>298.39999999999998</v>
      </c>
      <c r="G29" s="384">
        <v>44480</v>
      </c>
      <c r="H29" s="385">
        <v>1</v>
      </c>
      <c r="I29" s="385">
        <v>2020</v>
      </c>
      <c r="J29" s="385" t="s">
        <v>105</v>
      </c>
      <c r="K29" s="385">
        <v>1</v>
      </c>
      <c r="L29" s="386">
        <v>2120.6</v>
      </c>
      <c r="N29" s="125">
        <f>E29-$T$26</f>
        <v>297.25</v>
      </c>
      <c r="O29">
        <f>(N29/1000)*10</f>
        <v>2.9725000000000001</v>
      </c>
      <c r="P29">
        <f>O29*(5/4)</f>
        <v>3.7156250000000002</v>
      </c>
      <c r="Q29">
        <f>P29*28.09</f>
        <v>104.37190625000001</v>
      </c>
      <c r="R29">
        <f>P29*(28.09+2*16)</f>
        <v>223.27190625000003</v>
      </c>
      <c r="S29" s="421">
        <f>(Q29/L29)*100</f>
        <v>4.9218101598604171</v>
      </c>
      <c r="T29" s="421">
        <f>(R29/L29)*100</f>
        <v>10.528713866358579</v>
      </c>
    </row>
    <row r="30" spans="1:22">
      <c r="A30">
        <v>22472</v>
      </c>
      <c r="B30" t="s">
        <v>105</v>
      </c>
      <c r="C30">
        <v>2</v>
      </c>
      <c r="D30" t="s">
        <v>2229</v>
      </c>
      <c r="E30">
        <v>500.4</v>
      </c>
      <c r="G30" s="384">
        <v>44480</v>
      </c>
      <c r="H30" s="385">
        <v>2</v>
      </c>
      <c r="I30" s="385">
        <v>2020</v>
      </c>
      <c r="J30" s="385" t="s">
        <v>105</v>
      </c>
      <c r="K30" s="385">
        <v>2</v>
      </c>
      <c r="L30" s="386">
        <v>3044.1</v>
      </c>
      <c r="N30" s="125">
        <f t="shared" ref="N30:N93" si="0">E30-$T$26</f>
        <v>499.25</v>
      </c>
      <c r="O30">
        <f t="shared" ref="O30:O93" si="1">(N30/1000)*10</f>
        <v>4.9925000000000006</v>
      </c>
      <c r="P30">
        <f t="shared" ref="P30:P93" si="2">O30*(5/4)</f>
        <v>6.2406250000000005</v>
      </c>
      <c r="Q30">
        <f t="shared" ref="Q30:Q93" si="3">P30*28.09</f>
        <v>175.29915625000001</v>
      </c>
      <c r="R30">
        <f t="shared" ref="R30:R93" si="4">P30*(28.09+2*16)</f>
        <v>374.99915625000006</v>
      </c>
      <c r="S30" s="421">
        <f t="shared" ref="S30:S93" si="5">(Q30/L30)*100</f>
        <v>5.7586530090995698</v>
      </c>
      <c r="T30" s="421">
        <f t="shared" ref="T30:T93" si="6">(R30/L30)*100</f>
        <v>12.318884276140734</v>
      </c>
    </row>
    <row r="31" spans="1:22">
      <c r="A31">
        <v>22473</v>
      </c>
      <c r="B31" t="s">
        <v>105</v>
      </c>
      <c r="C31">
        <v>3</v>
      </c>
      <c r="D31" t="s">
        <v>2229</v>
      </c>
      <c r="E31">
        <v>379.4</v>
      </c>
      <c r="G31" s="384">
        <v>44480</v>
      </c>
      <c r="H31" s="385">
        <v>3</v>
      </c>
      <c r="I31" s="385">
        <v>2020</v>
      </c>
      <c r="J31" s="385" t="s">
        <v>105</v>
      </c>
      <c r="K31" s="385">
        <v>3</v>
      </c>
      <c r="L31" s="386">
        <v>3125.9</v>
      </c>
      <c r="N31" s="125">
        <f t="shared" si="0"/>
        <v>378.25</v>
      </c>
      <c r="O31">
        <f t="shared" si="1"/>
        <v>3.7824999999999998</v>
      </c>
      <c r="P31">
        <f t="shared" si="2"/>
        <v>4.7281249999999995</v>
      </c>
      <c r="Q31">
        <f t="shared" si="3"/>
        <v>132.81303124999999</v>
      </c>
      <c r="R31">
        <f t="shared" si="4"/>
        <v>284.11303125000001</v>
      </c>
      <c r="S31" s="421">
        <f t="shared" si="5"/>
        <v>4.2487933475159156</v>
      </c>
      <c r="T31" s="421">
        <f t="shared" si="6"/>
        <v>9.0889993681819625</v>
      </c>
    </row>
    <row r="32" spans="1:22">
      <c r="A32">
        <v>22474</v>
      </c>
      <c r="B32" t="s">
        <v>105</v>
      </c>
      <c r="C32">
        <v>4</v>
      </c>
      <c r="D32" t="s">
        <v>2229</v>
      </c>
      <c r="E32">
        <v>242.4</v>
      </c>
      <c r="G32" s="384">
        <v>44480</v>
      </c>
      <c r="H32" s="385">
        <v>4</v>
      </c>
      <c r="I32" s="385">
        <v>2020</v>
      </c>
      <c r="J32" s="385" t="s">
        <v>105</v>
      </c>
      <c r="K32" s="385">
        <v>4</v>
      </c>
      <c r="L32" s="386">
        <v>2282.4</v>
      </c>
      <c r="N32" s="125">
        <f t="shared" si="0"/>
        <v>241.25</v>
      </c>
      <c r="O32">
        <f t="shared" si="1"/>
        <v>2.4125000000000001</v>
      </c>
      <c r="P32">
        <f t="shared" si="2"/>
        <v>3.015625</v>
      </c>
      <c r="Q32">
        <f t="shared" si="3"/>
        <v>84.708906249999998</v>
      </c>
      <c r="R32">
        <f t="shared" si="4"/>
        <v>181.20890625000001</v>
      </c>
      <c r="S32" s="421">
        <f t="shared" si="5"/>
        <v>3.7113961728881879</v>
      </c>
      <c r="T32" s="421">
        <f t="shared" si="6"/>
        <v>7.9394017810199795</v>
      </c>
    </row>
    <row r="33" spans="1:22" s="413" customFormat="1">
      <c r="A33" s="413">
        <v>22475</v>
      </c>
      <c r="B33" s="413" t="s">
        <v>105</v>
      </c>
      <c r="C33" s="413">
        <v>5</v>
      </c>
      <c r="D33" s="413" t="s">
        <v>2229</v>
      </c>
      <c r="E33" s="413">
        <v>347.4</v>
      </c>
      <c r="G33" s="414">
        <v>44480</v>
      </c>
      <c r="H33" s="415">
        <v>5</v>
      </c>
      <c r="I33" s="416">
        <v>2020</v>
      </c>
      <c r="J33" s="416" t="s">
        <v>105</v>
      </c>
      <c r="K33" s="416" t="s">
        <v>2032</v>
      </c>
      <c r="L33" s="417">
        <v>3025.8</v>
      </c>
      <c r="N33" s="418">
        <f t="shared" si="0"/>
        <v>346.25</v>
      </c>
      <c r="O33" s="413">
        <f t="shared" si="1"/>
        <v>3.4624999999999999</v>
      </c>
      <c r="P33" s="413">
        <f t="shared" si="2"/>
        <v>4.328125</v>
      </c>
      <c r="Q33" s="413">
        <f t="shared" si="3"/>
        <v>121.57703125</v>
      </c>
      <c r="R33" s="413">
        <f t="shared" si="4"/>
        <v>260.07703125</v>
      </c>
      <c r="S33" s="421">
        <f t="shared" si="5"/>
        <v>4.0180127982682263</v>
      </c>
      <c r="T33" s="421">
        <f t="shared" si="6"/>
        <v>8.595314668847907</v>
      </c>
      <c r="U33" s="533">
        <f>(S33-S34)/AVERAGE(S33:S34)</f>
        <v>1.8712073585406438E-2</v>
      </c>
      <c r="V33" s="533"/>
    </row>
    <row r="34" spans="1:22" s="413" customFormat="1">
      <c r="A34" s="413">
        <v>22476</v>
      </c>
      <c r="B34" s="413" t="s">
        <v>105</v>
      </c>
      <c r="C34" s="413">
        <v>6</v>
      </c>
      <c r="D34" s="413" t="s">
        <v>2229</v>
      </c>
      <c r="E34" s="413">
        <v>333.4</v>
      </c>
      <c r="G34" s="414">
        <v>44480</v>
      </c>
      <c r="H34" s="416">
        <v>6</v>
      </c>
      <c r="I34" s="416">
        <v>2020</v>
      </c>
      <c r="J34" s="416" t="s">
        <v>105</v>
      </c>
      <c r="K34" s="416" t="s">
        <v>2033</v>
      </c>
      <c r="L34" s="417">
        <v>2958.3</v>
      </c>
      <c r="N34" s="418">
        <f>E34-$T$26</f>
        <v>332.25</v>
      </c>
      <c r="O34" s="413">
        <f t="shared" si="1"/>
        <v>3.3224999999999998</v>
      </c>
      <c r="P34" s="413">
        <f t="shared" si="2"/>
        <v>4.1531249999999993</v>
      </c>
      <c r="Q34" s="413">
        <f t="shared" si="3"/>
        <v>116.66128124999997</v>
      </c>
      <c r="R34" s="413">
        <f t="shared" si="4"/>
        <v>249.56128124999998</v>
      </c>
      <c r="S34" s="421">
        <f t="shared" si="5"/>
        <v>3.9435243636548005</v>
      </c>
      <c r="T34" s="421">
        <f t="shared" si="6"/>
        <v>8.4359693489504082</v>
      </c>
      <c r="V34" s="427"/>
    </row>
    <row r="35" spans="1:22">
      <c r="A35">
        <v>22477</v>
      </c>
      <c r="B35" t="s">
        <v>105</v>
      </c>
      <c r="C35">
        <v>7</v>
      </c>
      <c r="D35" t="s">
        <v>2229</v>
      </c>
      <c r="E35">
        <v>268.39999999999998</v>
      </c>
      <c r="G35" s="384">
        <v>44480</v>
      </c>
      <c r="H35" s="385">
        <v>7</v>
      </c>
      <c r="I35" s="385">
        <v>2020</v>
      </c>
      <c r="J35" s="385" t="s">
        <v>105</v>
      </c>
      <c r="K35" s="385">
        <v>6</v>
      </c>
      <c r="L35" s="386">
        <v>2649.7</v>
      </c>
      <c r="N35" s="125">
        <f t="shared" si="0"/>
        <v>267.25</v>
      </c>
      <c r="O35">
        <f t="shared" si="1"/>
        <v>2.6724999999999999</v>
      </c>
      <c r="P35">
        <f t="shared" si="2"/>
        <v>3.3406249999999997</v>
      </c>
      <c r="Q35">
        <f t="shared" si="3"/>
        <v>93.838156249999997</v>
      </c>
      <c r="R35">
        <f t="shared" si="4"/>
        <v>200.73815625</v>
      </c>
      <c r="S35" s="421">
        <f t="shared" si="5"/>
        <v>3.5414634203872133</v>
      </c>
      <c r="T35" s="421">
        <f t="shared" si="6"/>
        <v>7.5758824112163641</v>
      </c>
    </row>
    <row r="36" spans="1:22">
      <c r="A36">
        <v>22478</v>
      </c>
      <c r="B36" t="s">
        <v>105</v>
      </c>
      <c r="C36">
        <v>8</v>
      </c>
      <c r="D36" t="s">
        <v>2229</v>
      </c>
      <c r="E36">
        <v>209.4</v>
      </c>
      <c r="G36" s="384">
        <v>44480</v>
      </c>
      <c r="H36" s="385">
        <v>8</v>
      </c>
      <c r="I36" s="385">
        <v>2020</v>
      </c>
      <c r="J36" s="385" t="s">
        <v>105</v>
      </c>
      <c r="K36" s="385">
        <v>7</v>
      </c>
      <c r="L36" s="386">
        <v>2104.8000000000002</v>
      </c>
      <c r="N36" s="125">
        <f t="shared" si="0"/>
        <v>208.25</v>
      </c>
      <c r="O36">
        <f t="shared" si="1"/>
        <v>2.0825</v>
      </c>
      <c r="P36">
        <f t="shared" si="2"/>
        <v>2.6031249999999999</v>
      </c>
      <c r="Q36">
        <f t="shared" si="3"/>
        <v>73.121781249999998</v>
      </c>
      <c r="R36">
        <f t="shared" si="4"/>
        <v>156.42178125000001</v>
      </c>
      <c r="S36" s="421">
        <f t="shared" si="5"/>
        <v>3.4740489001330288</v>
      </c>
      <c r="T36" s="421">
        <f t="shared" si="6"/>
        <v>7.4316695766818697</v>
      </c>
    </row>
    <row r="37" spans="1:22">
      <c r="A37">
        <v>22479</v>
      </c>
      <c r="B37" t="s">
        <v>105</v>
      </c>
      <c r="C37">
        <v>9</v>
      </c>
      <c r="D37" t="s">
        <v>2229</v>
      </c>
      <c r="E37">
        <v>256.39999999999998</v>
      </c>
      <c r="G37" s="384">
        <v>44480</v>
      </c>
      <c r="H37" s="385">
        <v>9</v>
      </c>
      <c r="I37" s="385">
        <v>2020</v>
      </c>
      <c r="J37" s="385" t="s">
        <v>105</v>
      </c>
      <c r="K37" s="385">
        <v>8</v>
      </c>
      <c r="L37" s="386">
        <v>2447.6</v>
      </c>
      <c r="N37" s="125">
        <f t="shared" si="0"/>
        <v>255.24999999999997</v>
      </c>
      <c r="O37">
        <f t="shared" si="1"/>
        <v>2.5524999999999998</v>
      </c>
      <c r="P37">
        <f t="shared" si="2"/>
        <v>3.1906249999999998</v>
      </c>
      <c r="Q37">
        <f t="shared" si="3"/>
        <v>89.624656250000001</v>
      </c>
      <c r="R37">
        <f t="shared" si="4"/>
        <v>191.72465625000001</v>
      </c>
      <c r="S37" s="421">
        <f t="shared" si="5"/>
        <v>3.6617362416244483</v>
      </c>
      <c r="T37" s="421">
        <f t="shared" si="6"/>
        <v>7.8331694823500584</v>
      </c>
    </row>
    <row r="38" spans="1:22">
      <c r="A38">
        <v>22480</v>
      </c>
      <c r="B38" t="s">
        <v>105</v>
      </c>
      <c r="C38">
        <v>10</v>
      </c>
      <c r="D38" t="s">
        <v>2229</v>
      </c>
      <c r="E38">
        <v>226.4</v>
      </c>
      <c r="G38" s="384">
        <v>44480</v>
      </c>
      <c r="H38" s="385">
        <v>10</v>
      </c>
      <c r="I38" s="385">
        <v>2020</v>
      </c>
      <c r="J38" s="385" t="s">
        <v>105</v>
      </c>
      <c r="K38" s="385">
        <v>9</v>
      </c>
      <c r="L38" s="387">
        <v>2202.6999999999998</v>
      </c>
      <c r="N38" s="125">
        <f t="shared" si="0"/>
        <v>225.25</v>
      </c>
      <c r="O38">
        <f t="shared" si="1"/>
        <v>2.2524999999999999</v>
      </c>
      <c r="P38">
        <f t="shared" si="2"/>
        <v>2.8156249999999998</v>
      </c>
      <c r="Q38">
        <f t="shared" si="3"/>
        <v>79.090906249999989</v>
      </c>
      <c r="R38">
        <f t="shared" si="4"/>
        <v>169.19090625000001</v>
      </c>
      <c r="S38" s="421">
        <f t="shared" si="5"/>
        <v>3.5906345053797613</v>
      </c>
      <c r="T38" s="421">
        <f t="shared" si="6"/>
        <v>7.6810689721705199</v>
      </c>
    </row>
    <row r="39" spans="1:22" s="233" customFormat="1">
      <c r="A39" s="233">
        <v>22481</v>
      </c>
      <c r="B39" s="233" t="s">
        <v>2232</v>
      </c>
      <c r="C39" s="233">
        <v>11</v>
      </c>
      <c r="D39" s="233" t="s">
        <v>2229</v>
      </c>
      <c r="E39" s="233">
        <v>1.4</v>
      </c>
      <c r="G39" s="407">
        <v>44480</v>
      </c>
      <c r="H39" s="394">
        <v>11</v>
      </c>
      <c r="I39" s="394"/>
      <c r="J39" s="394" t="s">
        <v>2073</v>
      </c>
      <c r="K39" s="394"/>
      <c r="L39" s="395"/>
      <c r="N39" s="125"/>
      <c r="O39"/>
      <c r="P39"/>
      <c r="Q39"/>
      <c r="R39"/>
      <c r="S39" s="421"/>
      <c r="T39" s="421"/>
    </row>
    <row r="40" spans="1:22" s="383" customFormat="1" ht="15.75" thickBot="1">
      <c r="A40" s="383">
        <v>22482</v>
      </c>
      <c r="B40" s="383" t="s">
        <v>2021</v>
      </c>
      <c r="C40" s="383">
        <v>12</v>
      </c>
      <c r="D40" s="383" t="s">
        <v>2229</v>
      </c>
      <c r="E40" s="383">
        <v>391.4</v>
      </c>
      <c r="G40" s="403">
        <v>44480</v>
      </c>
      <c r="H40" s="404">
        <v>12</v>
      </c>
      <c r="I40" s="404" t="s">
        <v>2239</v>
      </c>
      <c r="J40" s="405" t="s">
        <v>2021</v>
      </c>
      <c r="K40" s="404">
        <v>1</v>
      </c>
      <c r="L40" s="406">
        <v>3237.6</v>
      </c>
      <c r="N40" s="125">
        <f t="shared" si="0"/>
        <v>390.25</v>
      </c>
      <c r="O40">
        <f t="shared" si="1"/>
        <v>3.9024999999999999</v>
      </c>
      <c r="P40">
        <f t="shared" si="2"/>
        <v>4.8781249999999998</v>
      </c>
      <c r="Q40">
        <f t="shared" si="3"/>
        <v>137.02653125000001</v>
      </c>
      <c r="R40">
        <f t="shared" si="4"/>
        <v>293.12653125000003</v>
      </c>
      <c r="S40" s="421">
        <f t="shared" si="5"/>
        <v>4.2323490008030644</v>
      </c>
      <c r="T40" s="421">
        <f t="shared" si="6"/>
        <v>9.0538216966271321</v>
      </c>
    </row>
    <row r="41" spans="1:22" ht="15.75" thickTop="1">
      <c r="A41">
        <v>22483</v>
      </c>
      <c r="B41" t="s">
        <v>105</v>
      </c>
      <c r="C41">
        <v>13</v>
      </c>
      <c r="D41" t="s">
        <v>2229</v>
      </c>
      <c r="E41">
        <v>254.4</v>
      </c>
      <c r="G41" s="384">
        <v>44480</v>
      </c>
      <c r="H41" s="389">
        <v>13</v>
      </c>
      <c r="I41" s="389">
        <v>2020</v>
      </c>
      <c r="J41" s="389" t="s">
        <v>105</v>
      </c>
      <c r="K41" s="389">
        <v>10</v>
      </c>
      <c r="L41" s="390">
        <v>2281.1</v>
      </c>
      <c r="N41" s="125">
        <f t="shared" si="0"/>
        <v>253.25</v>
      </c>
      <c r="O41">
        <f t="shared" si="1"/>
        <v>2.5324999999999998</v>
      </c>
      <c r="P41">
        <f t="shared" si="2"/>
        <v>3.1656249999999995</v>
      </c>
      <c r="Q41">
        <f t="shared" si="3"/>
        <v>88.92240624999998</v>
      </c>
      <c r="R41">
        <f t="shared" si="4"/>
        <v>190.22240624999998</v>
      </c>
      <c r="S41" s="421">
        <f t="shared" si="5"/>
        <v>3.8982248147823411</v>
      </c>
      <c r="T41" s="421">
        <f t="shared" si="6"/>
        <v>8.3390647604226036</v>
      </c>
    </row>
    <row r="42" spans="1:22">
      <c r="A42">
        <v>22484</v>
      </c>
      <c r="B42" t="s">
        <v>105</v>
      </c>
      <c r="C42">
        <v>14</v>
      </c>
      <c r="D42" t="s">
        <v>2229</v>
      </c>
      <c r="E42">
        <v>390.4</v>
      </c>
      <c r="G42" s="384">
        <v>44480</v>
      </c>
      <c r="H42" s="385">
        <v>14</v>
      </c>
      <c r="I42" s="385">
        <v>2020</v>
      </c>
      <c r="J42" s="385" t="s">
        <v>105</v>
      </c>
      <c r="K42" s="385">
        <v>11</v>
      </c>
      <c r="L42" s="386">
        <v>2344.8000000000002</v>
      </c>
      <c r="N42" s="125">
        <f t="shared" si="0"/>
        <v>389.25</v>
      </c>
      <c r="O42">
        <f t="shared" si="1"/>
        <v>3.8925000000000001</v>
      </c>
      <c r="P42">
        <f t="shared" si="2"/>
        <v>4.8656249999999996</v>
      </c>
      <c r="Q42">
        <f t="shared" si="3"/>
        <v>136.67540624999998</v>
      </c>
      <c r="R42">
        <f t="shared" si="4"/>
        <v>292.37540624999997</v>
      </c>
      <c r="S42" s="421">
        <f t="shared" si="5"/>
        <v>5.8288726650460578</v>
      </c>
      <c r="T42" s="421">
        <f t="shared" si="6"/>
        <v>12.469097844165812</v>
      </c>
    </row>
    <row r="43" spans="1:22">
      <c r="A43">
        <v>22485</v>
      </c>
      <c r="B43" t="s">
        <v>105</v>
      </c>
      <c r="C43">
        <v>15</v>
      </c>
      <c r="D43" t="s">
        <v>2229</v>
      </c>
      <c r="E43">
        <v>349.4</v>
      </c>
      <c r="G43" s="384">
        <v>44480</v>
      </c>
      <c r="H43" s="385">
        <v>15</v>
      </c>
      <c r="I43" s="385">
        <v>2020</v>
      </c>
      <c r="J43" s="385" t="s">
        <v>105</v>
      </c>
      <c r="K43" s="385">
        <v>12</v>
      </c>
      <c r="L43" s="386">
        <v>2690.7</v>
      </c>
      <c r="N43" s="125">
        <f t="shared" si="0"/>
        <v>348.25</v>
      </c>
      <c r="O43">
        <f t="shared" si="1"/>
        <v>3.4824999999999999</v>
      </c>
      <c r="P43">
        <f t="shared" si="2"/>
        <v>4.3531250000000004</v>
      </c>
      <c r="Q43">
        <f t="shared" si="3"/>
        <v>122.27928125000001</v>
      </c>
      <c r="R43">
        <f t="shared" si="4"/>
        <v>261.57928125000001</v>
      </c>
      <c r="S43" s="421">
        <f t="shared" si="5"/>
        <v>4.5445156000297322</v>
      </c>
      <c r="T43" s="421">
        <f t="shared" si="6"/>
        <v>9.7216070632177498</v>
      </c>
    </row>
    <row r="44" spans="1:22" s="413" customFormat="1">
      <c r="A44" s="413">
        <v>22486</v>
      </c>
      <c r="B44" s="413" t="s">
        <v>105</v>
      </c>
      <c r="C44" s="413">
        <v>16</v>
      </c>
      <c r="D44" s="413" t="s">
        <v>2229</v>
      </c>
      <c r="E44" s="413">
        <v>509.4</v>
      </c>
      <c r="G44" s="414">
        <v>44480</v>
      </c>
      <c r="H44" s="416">
        <v>16</v>
      </c>
      <c r="I44" s="416">
        <v>2020</v>
      </c>
      <c r="J44" s="416" t="s">
        <v>105</v>
      </c>
      <c r="K44" s="416" t="s">
        <v>1890</v>
      </c>
      <c r="L44" s="417">
        <v>2496.8000000000002</v>
      </c>
      <c r="N44" s="418">
        <f t="shared" si="0"/>
        <v>508.25</v>
      </c>
      <c r="O44" s="413">
        <f t="shared" si="1"/>
        <v>5.0824999999999996</v>
      </c>
      <c r="P44" s="413">
        <f t="shared" si="2"/>
        <v>6.3531249999999995</v>
      </c>
      <c r="Q44" s="413">
        <f t="shared" si="3"/>
        <v>178.45928124999998</v>
      </c>
      <c r="R44" s="413">
        <f t="shared" si="4"/>
        <v>381.75928125000002</v>
      </c>
      <c r="S44" s="413">
        <f t="shared" si="5"/>
        <v>7.1475200756968906</v>
      </c>
      <c r="T44" s="413">
        <f t="shared" si="6"/>
        <v>15.289942376241589</v>
      </c>
      <c r="U44" s="533">
        <f>(S44-S45)/AVERAGE(S44:S45)</f>
        <v>2.336493256835567E-2</v>
      </c>
      <c r="V44" s="533"/>
    </row>
    <row r="45" spans="1:22" s="413" customFormat="1">
      <c r="A45" s="413">
        <v>22487</v>
      </c>
      <c r="B45" s="413" t="s">
        <v>105</v>
      </c>
      <c r="C45" s="413">
        <v>17</v>
      </c>
      <c r="D45" s="413" t="s">
        <v>2229</v>
      </c>
      <c r="E45" s="413">
        <v>522.4</v>
      </c>
      <c r="G45" s="414">
        <v>44480</v>
      </c>
      <c r="H45" s="416">
        <v>17</v>
      </c>
      <c r="I45" s="416">
        <v>2020</v>
      </c>
      <c r="J45" s="416" t="s">
        <v>105</v>
      </c>
      <c r="K45" s="416" t="s">
        <v>1891</v>
      </c>
      <c r="L45" s="417">
        <v>2621.1999999999998</v>
      </c>
      <c r="N45" s="418">
        <f t="shared" si="0"/>
        <v>521.25</v>
      </c>
      <c r="O45" s="413">
        <f t="shared" si="1"/>
        <v>5.2125000000000004</v>
      </c>
      <c r="P45" s="413">
        <f t="shared" si="2"/>
        <v>6.515625</v>
      </c>
      <c r="Q45" s="413">
        <f t="shared" si="3"/>
        <v>183.02390625000001</v>
      </c>
      <c r="R45" s="413">
        <f t="shared" si="4"/>
        <v>391.52390625000004</v>
      </c>
      <c r="S45" s="413">
        <f t="shared" si="5"/>
        <v>6.9824472092934551</v>
      </c>
      <c r="T45" s="413">
        <f t="shared" si="6"/>
        <v>14.936819252632386</v>
      </c>
      <c r="V45" s="427"/>
    </row>
    <row r="46" spans="1:22">
      <c r="A46">
        <v>22488</v>
      </c>
      <c r="B46" t="s">
        <v>105</v>
      </c>
      <c r="C46">
        <v>18</v>
      </c>
      <c r="D46" t="s">
        <v>2229</v>
      </c>
      <c r="E46">
        <v>286.39999999999998</v>
      </c>
      <c r="G46" s="384">
        <v>44480</v>
      </c>
      <c r="H46" s="385">
        <v>18</v>
      </c>
      <c r="I46" s="385">
        <v>2020</v>
      </c>
      <c r="J46" s="385" t="s">
        <v>105</v>
      </c>
      <c r="K46" s="385">
        <v>14</v>
      </c>
      <c r="L46" s="386">
        <v>2750.3</v>
      </c>
      <c r="N46" s="125">
        <f t="shared" si="0"/>
        <v>285.25</v>
      </c>
      <c r="O46">
        <f t="shared" si="1"/>
        <v>2.8525</v>
      </c>
      <c r="P46">
        <f t="shared" si="2"/>
        <v>3.5656249999999998</v>
      </c>
      <c r="Q46">
        <f t="shared" si="3"/>
        <v>100.15840625</v>
      </c>
      <c r="R46">
        <f t="shared" si="4"/>
        <v>214.25840625000001</v>
      </c>
      <c r="S46" s="421">
        <f t="shared" si="5"/>
        <v>3.6417265843726137</v>
      </c>
      <c r="T46" s="421">
        <f t="shared" si="6"/>
        <v>7.7903649147365739</v>
      </c>
    </row>
    <row r="47" spans="1:22">
      <c r="A47">
        <v>22489</v>
      </c>
      <c r="B47" t="s">
        <v>105</v>
      </c>
      <c r="C47">
        <v>19</v>
      </c>
      <c r="D47" t="s">
        <v>2229</v>
      </c>
      <c r="E47">
        <v>145.4</v>
      </c>
      <c r="G47" s="384">
        <v>44480</v>
      </c>
      <c r="H47" s="385">
        <v>19</v>
      </c>
      <c r="I47" s="385">
        <v>2020</v>
      </c>
      <c r="J47" s="385" t="s">
        <v>105</v>
      </c>
      <c r="K47" s="385">
        <v>15</v>
      </c>
      <c r="L47" s="386">
        <v>2845</v>
      </c>
      <c r="N47" s="125">
        <f t="shared" si="0"/>
        <v>144.25</v>
      </c>
      <c r="O47">
        <f t="shared" si="1"/>
        <v>1.4424999999999999</v>
      </c>
      <c r="P47">
        <f t="shared" si="2"/>
        <v>1.8031249999999999</v>
      </c>
      <c r="Q47">
        <f t="shared" si="3"/>
        <v>50.649781249999997</v>
      </c>
      <c r="R47">
        <f t="shared" si="4"/>
        <v>108.34978124999999</v>
      </c>
      <c r="S47" s="421">
        <f t="shared" si="5"/>
        <v>1.7803086555360281</v>
      </c>
      <c r="T47" s="421">
        <f t="shared" si="6"/>
        <v>3.8084281634446397</v>
      </c>
    </row>
    <row r="48" spans="1:22">
      <c r="A48">
        <v>22490</v>
      </c>
      <c r="B48" t="s">
        <v>105</v>
      </c>
      <c r="C48">
        <v>20</v>
      </c>
      <c r="D48" t="s">
        <v>2229</v>
      </c>
      <c r="E48">
        <v>95.4</v>
      </c>
      <c r="G48" s="384">
        <v>44480</v>
      </c>
      <c r="H48" s="385">
        <v>20</v>
      </c>
      <c r="I48" s="385">
        <v>2020</v>
      </c>
      <c r="J48" s="385" t="s">
        <v>105</v>
      </c>
      <c r="K48" s="385" t="s">
        <v>2240</v>
      </c>
      <c r="L48" s="386">
        <v>2809.1</v>
      </c>
      <c r="N48" s="125">
        <f t="shared" si="0"/>
        <v>94.25</v>
      </c>
      <c r="O48">
        <f t="shared" si="1"/>
        <v>0.9425</v>
      </c>
      <c r="P48">
        <f t="shared" si="2"/>
        <v>1.1781250000000001</v>
      </c>
      <c r="Q48">
        <f t="shared" si="3"/>
        <v>33.093531250000005</v>
      </c>
      <c r="R48">
        <f t="shared" si="4"/>
        <v>70.793531250000015</v>
      </c>
      <c r="S48" s="421">
        <f t="shared" si="5"/>
        <v>1.1780830604108081</v>
      </c>
      <c r="T48" s="421">
        <f t="shared" si="6"/>
        <v>2.5201499145633841</v>
      </c>
    </row>
    <row r="49" spans="1:22">
      <c r="A49">
        <v>22491</v>
      </c>
      <c r="B49" t="s">
        <v>105</v>
      </c>
      <c r="C49">
        <v>21</v>
      </c>
      <c r="D49" t="s">
        <v>2229</v>
      </c>
      <c r="E49">
        <v>146.4</v>
      </c>
      <c r="G49" s="384">
        <v>44480</v>
      </c>
      <c r="H49" s="385">
        <v>21</v>
      </c>
      <c r="I49" s="385">
        <v>2020</v>
      </c>
      <c r="J49" s="385" t="s">
        <v>105</v>
      </c>
      <c r="K49" s="385">
        <v>18</v>
      </c>
      <c r="L49" s="386">
        <v>2174.3000000000002</v>
      </c>
      <c r="N49" s="125">
        <f t="shared" si="0"/>
        <v>145.25</v>
      </c>
      <c r="O49">
        <f t="shared" si="1"/>
        <v>1.4524999999999999</v>
      </c>
      <c r="P49">
        <f t="shared" si="2"/>
        <v>1.8156249999999998</v>
      </c>
      <c r="Q49">
        <f t="shared" si="3"/>
        <v>51.000906249999993</v>
      </c>
      <c r="R49">
        <f t="shared" si="4"/>
        <v>109.10090624999999</v>
      </c>
      <c r="S49" s="421">
        <f t="shared" si="5"/>
        <v>2.3456241663983803</v>
      </c>
      <c r="T49" s="421">
        <f t="shared" si="6"/>
        <v>5.0177485282619685</v>
      </c>
    </row>
    <row r="50" spans="1:22">
      <c r="A50">
        <v>22492</v>
      </c>
      <c r="B50" t="s">
        <v>105</v>
      </c>
      <c r="C50">
        <v>22</v>
      </c>
      <c r="D50" t="s">
        <v>2229</v>
      </c>
      <c r="E50">
        <v>194.4</v>
      </c>
      <c r="G50" s="384">
        <v>44480</v>
      </c>
      <c r="H50" s="385">
        <v>22</v>
      </c>
      <c r="I50" s="385">
        <v>2020</v>
      </c>
      <c r="J50" s="385" t="s">
        <v>105</v>
      </c>
      <c r="K50" s="385">
        <v>19</v>
      </c>
      <c r="L50" s="386">
        <v>2166.6</v>
      </c>
      <c r="N50" s="125">
        <f t="shared" si="0"/>
        <v>193.25</v>
      </c>
      <c r="O50">
        <f t="shared" si="1"/>
        <v>1.9325000000000001</v>
      </c>
      <c r="P50">
        <f t="shared" si="2"/>
        <v>2.4156250000000004</v>
      </c>
      <c r="Q50">
        <f t="shared" si="3"/>
        <v>67.854906250000013</v>
      </c>
      <c r="R50">
        <f t="shared" si="4"/>
        <v>145.15490625000004</v>
      </c>
      <c r="S50" s="421">
        <f t="shared" si="5"/>
        <v>3.1318612688082719</v>
      </c>
      <c r="T50" s="421">
        <f t="shared" si="6"/>
        <v>6.6996633550263098</v>
      </c>
    </row>
    <row r="51" spans="1:22">
      <c r="A51">
        <v>22493</v>
      </c>
      <c r="B51" t="s">
        <v>105</v>
      </c>
      <c r="C51">
        <v>23</v>
      </c>
      <c r="D51" t="s">
        <v>2229</v>
      </c>
      <c r="E51">
        <v>320.39999999999998</v>
      </c>
      <c r="G51" s="384">
        <v>44480</v>
      </c>
      <c r="H51" s="385">
        <v>23</v>
      </c>
      <c r="I51" s="385">
        <v>2020</v>
      </c>
      <c r="J51" s="385" t="s">
        <v>105</v>
      </c>
      <c r="K51" s="385">
        <v>20</v>
      </c>
      <c r="L51" s="386">
        <v>2508.1</v>
      </c>
      <c r="N51" s="125">
        <f t="shared" si="0"/>
        <v>319.25</v>
      </c>
      <c r="O51">
        <f t="shared" si="1"/>
        <v>3.1924999999999999</v>
      </c>
      <c r="P51">
        <f t="shared" si="2"/>
        <v>3.9906249999999996</v>
      </c>
      <c r="Q51">
        <f t="shared" si="3"/>
        <v>112.09665625</v>
      </c>
      <c r="R51">
        <f t="shared" si="4"/>
        <v>239.79665624999998</v>
      </c>
      <c r="S51" s="421">
        <f t="shared" si="5"/>
        <v>4.4693854411706067</v>
      </c>
      <c r="T51" s="421">
        <f t="shared" si="6"/>
        <v>9.5608889697380484</v>
      </c>
    </row>
    <row r="52" spans="1:22" ht="15.75" thickBot="1">
      <c r="A52">
        <v>22494</v>
      </c>
      <c r="B52" t="s">
        <v>105</v>
      </c>
      <c r="C52">
        <v>24</v>
      </c>
      <c r="D52" t="s">
        <v>2229</v>
      </c>
      <c r="E52">
        <v>231.4</v>
      </c>
      <c r="G52" s="384">
        <v>44480</v>
      </c>
      <c r="H52" s="388">
        <v>24</v>
      </c>
      <c r="I52" s="388">
        <v>2020</v>
      </c>
      <c r="J52" s="388" t="s">
        <v>105</v>
      </c>
      <c r="K52" s="388">
        <v>21</v>
      </c>
      <c r="L52" s="391">
        <v>2128.5</v>
      </c>
      <c r="N52" s="125">
        <f t="shared" si="0"/>
        <v>230.25</v>
      </c>
      <c r="O52">
        <f t="shared" si="1"/>
        <v>2.3025000000000002</v>
      </c>
      <c r="P52">
        <f t="shared" si="2"/>
        <v>2.8781250000000003</v>
      </c>
      <c r="Q52">
        <f t="shared" si="3"/>
        <v>80.846531250000012</v>
      </c>
      <c r="R52">
        <f t="shared" si="4"/>
        <v>172.94653125000002</v>
      </c>
      <c r="S52" s="421">
        <f t="shared" si="5"/>
        <v>3.7982866455250184</v>
      </c>
      <c r="T52" s="421">
        <f t="shared" si="6"/>
        <v>8.1252774841437638</v>
      </c>
    </row>
    <row r="53" spans="1:22" ht="15.75" thickTop="1">
      <c r="A53">
        <v>22495</v>
      </c>
      <c r="B53" t="s">
        <v>108</v>
      </c>
      <c r="C53">
        <v>25</v>
      </c>
      <c r="D53" t="s">
        <v>2229</v>
      </c>
      <c r="E53">
        <v>333.4</v>
      </c>
      <c r="G53" s="384">
        <v>44480</v>
      </c>
      <c r="H53" s="389">
        <v>25</v>
      </c>
      <c r="I53" s="389">
        <v>2020</v>
      </c>
      <c r="J53" s="389" t="s">
        <v>108</v>
      </c>
      <c r="K53" s="389">
        <v>1</v>
      </c>
      <c r="L53" s="390">
        <v>2078.5</v>
      </c>
      <c r="N53" s="125">
        <f t="shared" si="0"/>
        <v>332.25</v>
      </c>
      <c r="O53">
        <f t="shared" si="1"/>
        <v>3.3224999999999998</v>
      </c>
      <c r="P53">
        <f t="shared" si="2"/>
        <v>4.1531249999999993</v>
      </c>
      <c r="Q53">
        <f t="shared" si="3"/>
        <v>116.66128124999997</v>
      </c>
      <c r="R53">
        <f t="shared" si="4"/>
        <v>249.56128124999998</v>
      </c>
      <c r="S53" s="421">
        <f t="shared" si="5"/>
        <v>5.6127631104161644</v>
      </c>
      <c r="T53" s="421">
        <f t="shared" si="6"/>
        <v>12.006797269665622</v>
      </c>
    </row>
    <row r="54" spans="1:22">
      <c r="A54">
        <v>22496</v>
      </c>
      <c r="B54" t="s">
        <v>108</v>
      </c>
      <c r="C54">
        <v>26</v>
      </c>
      <c r="D54" t="s">
        <v>2229</v>
      </c>
      <c r="E54">
        <v>350.4</v>
      </c>
      <c r="G54" s="384">
        <v>44480</v>
      </c>
      <c r="H54" s="385">
        <v>26</v>
      </c>
      <c r="I54" s="385">
        <v>2020</v>
      </c>
      <c r="J54" s="385" t="s">
        <v>108</v>
      </c>
      <c r="K54" s="385">
        <v>2</v>
      </c>
      <c r="L54" s="386">
        <v>2211.1999999999998</v>
      </c>
      <c r="N54" s="125">
        <f t="shared" si="0"/>
        <v>349.25</v>
      </c>
      <c r="O54">
        <f t="shared" si="1"/>
        <v>3.4925000000000002</v>
      </c>
      <c r="P54">
        <f t="shared" si="2"/>
        <v>4.3656250000000005</v>
      </c>
      <c r="Q54">
        <f t="shared" si="3"/>
        <v>122.63040625000002</v>
      </c>
      <c r="R54">
        <f t="shared" si="4"/>
        <v>262.33040625000007</v>
      </c>
      <c r="S54" s="421">
        <f t="shared" si="5"/>
        <v>5.5458758253437059</v>
      </c>
      <c r="T54" s="421">
        <f t="shared" si="6"/>
        <v>11.863712294229382</v>
      </c>
    </row>
    <row r="55" spans="1:22">
      <c r="A55">
        <v>22497</v>
      </c>
      <c r="B55" t="s">
        <v>108</v>
      </c>
      <c r="C55">
        <v>27</v>
      </c>
      <c r="D55" t="s">
        <v>2229</v>
      </c>
      <c r="E55">
        <v>357.4</v>
      </c>
      <c r="G55" s="384">
        <v>44480</v>
      </c>
      <c r="H55" s="385">
        <v>27</v>
      </c>
      <c r="I55" s="385">
        <v>2020</v>
      </c>
      <c r="J55" s="385" t="s">
        <v>108</v>
      </c>
      <c r="K55" s="385">
        <v>3</v>
      </c>
      <c r="L55" s="386">
        <v>2518.1999999999998</v>
      </c>
      <c r="N55" s="125">
        <f t="shared" si="0"/>
        <v>356.25</v>
      </c>
      <c r="O55">
        <f t="shared" si="1"/>
        <v>3.5625</v>
      </c>
      <c r="P55">
        <f t="shared" si="2"/>
        <v>4.453125</v>
      </c>
      <c r="Q55">
        <f t="shared" si="3"/>
        <v>125.08828124999999</v>
      </c>
      <c r="R55">
        <f t="shared" si="4"/>
        <v>267.58828125000002</v>
      </c>
      <c r="S55" s="421">
        <f t="shared" si="5"/>
        <v>4.9673688050988805</v>
      </c>
      <c r="T55" s="421">
        <f t="shared" si="6"/>
        <v>10.626172712651897</v>
      </c>
    </row>
    <row r="56" spans="1:22">
      <c r="A56">
        <v>22498</v>
      </c>
      <c r="B56" t="s">
        <v>108</v>
      </c>
      <c r="C56">
        <v>28</v>
      </c>
      <c r="D56" t="s">
        <v>2229</v>
      </c>
      <c r="E56">
        <v>313.39999999999998</v>
      </c>
      <c r="G56" s="384">
        <v>44480</v>
      </c>
      <c r="H56" s="385">
        <v>28</v>
      </c>
      <c r="I56" s="385">
        <v>2020</v>
      </c>
      <c r="J56" s="385" t="s">
        <v>108</v>
      </c>
      <c r="K56" s="385">
        <v>4</v>
      </c>
      <c r="L56" s="386">
        <v>2334.4</v>
      </c>
      <c r="N56" s="125">
        <f t="shared" si="0"/>
        <v>312.25</v>
      </c>
      <c r="O56">
        <f t="shared" si="1"/>
        <v>3.1225000000000005</v>
      </c>
      <c r="P56">
        <f t="shared" si="2"/>
        <v>3.9031250000000006</v>
      </c>
      <c r="Q56">
        <f t="shared" si="3"/>
        <v>109.63878125000002</v>
      </c>
      <c r="R56">
        <f t="shared" si="4"/>
        <v>234.53878125000006</v>
      </c>
      <c r="S56" s="421">
        <f t="shared" si="5"/>
        <v>4.6966578671178896</v>
      </c>
      <c r="T56" s="421">
        <f t="shared" si="6"/>
        <v>10.047069107693627</v>
      </c>
    </row>
    <row r="57" spans="1:22">
      <c r="A57">
        <v>22499</v>
      </c>
      <c r="B57" t="s">
        <v>108</v>
      </c>
      <c r="C57">
        <v>29</v>
      </c>
      <c r="D57" t="s">
        <v>2229</v>
      </c>
      <c r="E57">
        <v>263.39999999999998</v>
      </c>
      <c r="G57" s="384">
        <v>44480</v>
      </c>
      <c r="H57" s="385">
        <v>29</v>
      </c>
      <c r="I57" s="385">
        <v>2020</v>
      </c>
      <c r="J57" s="385" t="s">
        <v>108</v>
      </c>
      <c r="K57" s="385">
        <v>5</v>
      </c>
      <c r="L57" s="386">
        <v>2387.1999999999998</v>
      </c>
      <c r="N57" s="125">
        <f t="shared" si="0"/>
        <v>262.25</v>
      </c>
      <c r="O57">
        <f t="shared" si="1"/>
        <v>2.6224999999999996</v>
      </c>
      <c r="P57">
        <f t="shared" si="2"/>
        <v>3.2781249999999993</v>
      </c>
      <c r="Q57">
        <f t="shared" si="3"/>
        <v>92.082531249999974</v>
      </c>
      <c r="R57">
        <f t="shared" si="4"/>
        <v>196.98253124999997</v>
      </c>
      <c r="S57" s="421">
        <f t="shared" si="5"/>
        <v>3.8573446401642086</v>
      </c>
      <c r="T57" s="421">
        <f t="shared" si="6"/>
        <v>8.251614077161527</v>
      </c>
    </row>
    <row r="58" spans="1:22">
      <c r="A58">
        <v>22500</v>
      </c>
      <c r="B58" t="s">
        <v>108</v>
      </c>
      <c r="C58">
        <v>30</v>
      </c>
      <c r="D58" t="s">
        <v>2229</v>
      </c>
      <c r="E58">
        <v>320.39999999999998</v>
      </c>
      <c r="G58" s="384">
        <v>44480</v>
      </c>
      <c r="H58" s="385">
        <v>30</v>
      </c>
      <c r="I58" s="385">
        <v>2020</v>
      </c>
      <c r="J58" s="385" t="s">
        <v>108</v>
      </c>
      <c r="K58" s="385">
        <v>6</v>
      </c>
      <c r="L58" s="386">
        <v>2901.9</v>
      </c>
      <c r="N58" s="125">
        <f t="shared" si="0"/>
        <v>319.25</v>
      </c>
      <c r="O58">
        <f t="shared" si="1"/>
        <v>3.1924999999999999</v>
      </c>
      <c r="P58">
        <f t="shared" si="2"/>
        <v>3.9906249999999996</v>
      </c>
      <c r="Q58">
        <f t="shared" si="3"/>
        <v>112.09665625</v>
      </c>
      <c r="R58">
        <f t="shared" si="4"/>
        <v>239.79665624999998</v>
      </c>
      <c r="S58" s="421">
        <f t="shared" si="5"/>
        <v>3.8628710930769494</v>
      </c>
      <c r="T58" s="421">
        <f t="shared" si="6"/>
        <v>8.2634362400496215</v>
      </c>
    </row>
    <row r="59" spans="1:22">
      <c r="A59">
        <v>22501</v>
      </c>
      <c r="B59" t="s">
        <v>108</v>
      </c>
      <c r="C59">
        <v>31</v>
      </c>
      <c r="D59" t="s">
        <v>2229</v>
      </c>
      <c r="E59">
        <v>296.39999999999998</v>
      </c>
      <c r="G59" s="384">
        <v>44480</v>
      </c>
      <c r="H59" s="385">
        <v>31</v>
      </c>
      <c r="I59" s="385">
        <v>2020</v>
      </c>
      <c r="J59" s="385" t="s">
        <v>108</v>
      </c>
      <c r="K59" s="385">
        <v>7</v>
      </c>
      <c r="L59" s="386">
        <v>2818.8</v>
      </c>
      <c r="N59" s="125">
        <f t="shared" si="0"/>
        <v>295.25</v>
      </c>
      <c r="O59">
        <f t="shared" si="1"/>
        <v>2.9525000000000001</v>
      </c>
      <c r="P59">
        <f t="shared" si="2"/>
        <v>3.6906250000000003</v>
      </c>
      <c r="Q59">
        <f t="shared" si="3"/>
        <v>103.66965625</v>
      </c>
      <c r="R59">
        <f t="shared" si="4"/>
        <v>221.76965625000003</v>
      </c>
      <c r="S59" s="421">
        <f t="shared" si="5"/>
        <v>3.6777939637434365</v>
      </c>
      <c r="T59" s="421">
        <f t="shared" si="6"/>
        <v>7.8675200883354623</v>
      </c>
    </row>
    <row r="60" spans="1:22">
      <c r="A60">
        <v>22502</v>
      </c>
      <c r="B60" t="s">
        <v>108</v>
      </c>
      <c r="C60">
        <v>32</v>
      </c>
      <c r="D60" t="s">
        <v>2229</v>
      </c>
      <c r="E60">
        <v>232.4</v>
      </c>
      <c r="G60" s="384">
        <v>44480</v>
      </c>
      <c r="H60" s="385">
        <v>32</v>
      </c>
      <c r="I60" s="385">
        <v>2020</v>
      </c>
      <c r="J60" s="385" t="s">
        <v>108</v>
      </c>
      <c r="K60" s="385">
        <v>8</v>
      </c>
      <c r="L60" s="386">
        <v>2287.6</v>
      </c>
      <c r="N60" s="125">
        <f t="shared" si="0"/>
        <v>231.25</v>
      </c>
      <c r="O60">
        <f t="shared" si="1"/>
        <v>2.3125</v>
      </c>
      <c r="P60">
        <f t="shared" si="2"/>
        <v>2.890625</v>
      </c>
      <c r="Q60">
        <f t="shared" si="3"/>
        <v>81.197656249999994</v>
      </c>
      <c r="R60">
        <f t="shared" si="4"/>
        <v>173.69765625000002</v>
      </c>
      <c r="S60" s="421">
        <f t="shared" si="5"/>
        <v>3.5494691488896661</v>
      </c>
      <c r="T60" s="421">
        <f t="shared" si="6"/>
        <v>7.5930082291484542</v>
      </c>
    </row>
    <row r="61" spans="1:22">
      <c r="A61">
        <v>22503</v>
      </c>
      <c r="B61" t="s">
        <v>108</v>
      </c>
      <c r="C61">
        <v>33</v>
      </c>
      <c r="D61" t="s">
        <v>2229</v>
      </c>
      <c r="E61">
        <v>280.39999999999998</v>
      </c>
      <c r="G61" s="384">
        <v>44480</v>
      </c>
      <c r="H61" s="385">
        <v>33</v>
      </c>
      <c r="I61" s="385">
        <v>2020</v>
      </c>
      <c r="J61" s="385" t="s">
        <v>108</v>
      </c>
      <c r="K61" s="385">
        <v>9</v>
      </c>
      <c r="L61" s="386">
        <v>2458.5</v>
      </c>
      <c r="N61" s="125">
        <f t="shared" si="0"/>
        <v>279.25</v>
      </c>
      <c r="O61">
        <f t="shared" si="1"/>
        <v>2.7925</v>
      </c>
      <c r="P61">
        <f t="shared" si="2"/>
        <v>3.4906250000000001</v>
      </c>
      <c r="Q61">
        <f t="shared" si="3"/>
        <v>98.051656250000008</v>
      </c>
      <c r="R61">
        <f t="shared" si="4"/>
        <v>209.75165625000002</v>
      </c>
      <c r="S61" s="421">
        <f t="shared" si="5"/>
        <v>3.9882715578604842</v>
      </c>
      <c r="T61" s="421">
        <f t="shared" si="6"/>
        <v>8.5316923428920077</v>
      </c>
    </row>
    <row r="62" spans="1:22">
      <c r="A62">
        <v>22504</v>
      </c>
      <c r="B62" t="s">
        <v>108</v>
      </c>
      <c r="C62">
        <v>34</v>
      </c>
      <c r="D62" t="s">
        <v>2229</v>
      </c>
      <c r="E62">
        <v>367.4</v>
      </c>
      <c r="G62" s="384">
        <v>44480</v>
      </c>
      <c r="H62" s="385">
        <v>34</v>
      </c>
      <c r="I62" s="385">
        <v>2020</v>
      </c>
      <c r="J62" s="385" t="s">
        <v>108</v>
      </c>
      <c r="K62" s="385">
        <v>10</v>
      </c>
      <c r="L62" s="386">
        <v>2104.9</v>
      </c>
      <c r="N62" s="125">
        <f t="shared" si="0"/>
        <v>366.25</v>
      </c>
      <c r="O62">
        <f t="shared" si="1"/>
        <v>3.6625000000000001</v>
      </c>
      <c r="P62">
        <f t="shared" si="2"/>
        <v>4.578125</v>
      </c>
      <c r="Q62">
        <f t="shared" si="3"/>
        <v>128.59953125000001</v>
      </c>
      <c r="R62">
        <f t="shared" si="4"/>
        <v>275.09953125000004</v>
      </c>
      <c r="S62" s="421">
        <f t="shared" si="5"/>
        <v>6.10953162858093</v>
      </c>
      <c r="T62" s="421">
        <f t="shared" si="6"/>
        <v>13.069482220057962</v>
      </c>
    </row>
    <row r="63" spans="1:22" s="413" customFormat="1">
      <c r="A63" s="413">
        <v>22505</v>
      </c>
      <c r="B63" s="413" t="s">
        <v>108</v>
      </c>
      <c r="C63" s="413">
        <v>35</v>
      </c>
      <c r="D63" s="413" t="s">
        <v>2229</v>
      </c>
      <c r="E63" s="413">
        <v>742.4</v>
      </c>
      <c r="G63" s="414">
        <v>44480</v>
      </c>
      <c r="H63" s="416">
        <v>35</v>
      </c>
      <c r="I63" s="416">
        <v>2020</v>
      </c>
      <c r="J63" s="416" t="s">
        <v>108</v>
      </c>
      <c r="K63" s="416" t="s">
        <v>1888</v>
      </c>
      <c r="L63" s="417">
        <v>2419.6</v>
      </c>
      <c r="N63" s="418">
        <f t="shared" si="0"/>
        <v>741.25</v>
      </c>
      <c r="O63" s="413">
        <f t="shared" si="1"/>
        <v>7.4124999999999996</v>
      </c>
      <c r="P63" s="413">
        <f t="shared" si="2"/>
        <v>9.265625</v>
      </c>
      <c r="Q63" s="413">
        <f t="shared" si="3"/>
        <v>260.27140624999998</v>
      </c>
      <c r="R63" s="413">
        <f t="shared" si="4"/>
        <v>556.77140625000004</v>
      </c>
      <c r="S63" s="413">
        <f t="shared" si="5"/>
        <v>10.756794769796659</v>
      </c>
      <c r="T63" s="413">
        <f t="shared" si="6"/>
        <v>23.010886355182677</v>
      </c>
      <c r="U63" s="533">
        <f>(S63-S64)/AVERAGE(S63:S64)</f>
        <v>-1.1878725736351757E-2</v>
      </c>
    </row>
    <row r="64" spans="1:22" s="413" customFormat="1" ht="15.75" thickBot="1">
      <c r="A64" s="413">
        <v>22506</v>
      </c>
      <c r="B64" s="413" t="s">
        <v>108</v>
      </c>
      <c r="C64" s="413">
        <v>36</v>
      </c>
      <c r="D64" s="413" t="s">
        <v>2229</v>
      </c>
      <c r="E64" s="413">
        <v>663.4</v>
      </c>
      <c r="G64" s="414">
        <v>44480</v>
      </c>
      <c r="H64" s="422">
        <v>36</v>
      </c>
      <c r="I64" s="422">
        <v>2020</v>
      </c>
      <c r="J64" s="422" t="s">
        <v>108</v>
      </c>
      <c r="K64" s="422" t="s">
        <v>1887</v>
      </c>
      <c r="L64" s="423">
        <v>2136.1999999999998</v>
      </c>
      <c r="N64" s="418">
        <f t="shared" si="0"/>
        <v>662.25</v>
      </c>
      <c r="O64" s="413">
        <f t="shared" si="1"/>
        <v>6.6225000000000005</v>
      </c>
      <c r="P64" s="413">
        <f t="shared" si="2"/>
        <v>8.2781250000000011</v>
      </c>
      <c r="Q64" s="413">
        <f t="shared" si="3"/>
        <v>232.53253125000003</v>
      </c>
      <c r="R64" s="413">
        <f t="shared" si="4"/>
        <v>497.43253125000007</v>
      </c>
      <c r="S64" s="413">
        <f t="shared" si="5"/>
        <v>10.885335233124243</v>
      </c>
      <c r="T64" s="413">
        <f t="shared" si="6"/>
        <v>23.285859528602195</v>
      </c>
      <c r="V64" s="427"/>
    </row>
    <row r="65" spans="1:22" s="413" customFormat="1" ht="15.75" thickTop="1">
      <c r="A65" s="413">
        <v>22507</v>
      </c>
      <c r="B65" s="413" t="s">
        <v>108</v>
      </c>
      <c r="C65" s="413">
        <v>37</v>
      </c>
      <c r="D65" s="413" t="s">
        <v>2229</v>
      </c>
      <c r="E65" s="413">
        <v>512.4</v>
      </c>
      <c r="G65" s="424">
        <v>44481</v>
      </c>
      <c r="H65" s="425">
        <v>37</v>
      </c>
      <c r="I65" s="425">
        <v>2020</v>
      </c>
      <c r="J65" s="425" t="s">
        <v>108</v>
      </c>
      <c r="K65" s="425" t="s">
        <v>1886</v>
      </c>
      <c r="L65" s="426">
        <v>2071.4</v>
      </c>
      <c r="N65" s="418">
        <f t="shared" si="0"/>
        <v>511.25</v>
      </c>
      <c r="O65" s="413">
        <f t="shared" si="1"/>
        <v>5.1124999999999998</v>
      </c>
      <c r="P65" s="413">
        <f t="shared" si="2"/>
        <v>6.390625</v>
      </c>
      <c r="Q65" s="413">
        <f t="shared" si="3"/>
        <v>179.51265624999999</v>
      </c>
      <c r="R65" s="413">
        <f t="shared" si="4"/>
        <v>384.01265625000002</v>
      </c>
      <c r="S65" s="413">
        <f t="shared" si="5"/>
        <v>8.6662477672105815</v>
      </c>
      <c r="T65" s="413">
        <f t="shared" si="6"/>
        <v>18.538797733417013</v>
      </c>
      <c r="U65" s="533">
        <f>(S65-S66)/AVERAGE(S65:S66)</f>
        <v>5.0909558225260111E-3</v>
      </c>
    </row>
    <row r="66" spans="1:22" s="413" customFormat="1">
      <c r="A66" s="413">
        <v>22508</v>
      </c>
      <c r="B66" s="413" t="s">
        <v>108</v>
      </c>
      <c r="C66" s="413">
        <v>38</v>
      </c>
      <c r="D66" s="413" t="s">
        <v>2229</v>
      </c>
      <c r="E66" s="413">
        <v>511.4</v>
      </c>
      <c r="G66" s="424">
        <v>44481</v>
      </c>
      <c r="H66" s="416">
        <v>38</v>
      </c>
      <c r="I66" s="416">
        <v>2020</v>
      </c>
      <c r="J66" s="416" t="s">
        <v>108</v>
      </c>
      <c r="K66" s="416" t="s">
        <v>1889</v>
      </c>
      <c r="L66" s="417">
        <v>2077.9</v>
      </c>
      <c r="N66" s="418">
        <f t="shared" si="0"/>
        <v>510.25</v>
      </c>
      <c r="O66" s="413">
        <f t="shared" si="1"/>
        <v>5.1025</v>
      </c>
      <c r="P66" s="413">
        <f t="shared" si="2"/>
        <v>6.3781249999999998</v>
      </c>
      <c r="Q66" s="413">
        <f t="shared" si="3"/>
        <v>179.16153125</v>
      </c>
      <c r="R66" s="413">
        <f t="shared" si="4"/>
        <v>383.26153125000002</v>
      </c>
      <c r="S66" s="413">
        <f t="shared" si="5"/>
        <v>8.6222403027094661</v>
      </c>
      <c r="T66" s="413">
        <f t="shared" si="6"/>
        <v>18.444657165888636</v>
      </c>
      <c r="V66" s="427"/>
    </row>
    <row r="67" spans="1:22">
      <c r="A67">
        <v>22509</v>
      </c>
      <c r="B67" t="s">
        <v>108</v>
      </c>
      <c r="C67">
        <v>39</v>
      </c>
      <c r="D67" t="s">
        <v>2229</v>
      </c>
      <c r="E67">
        <v>686.4</v>
      </c>
      <c r="G67" s="392">
        <v>44481</v>
      </c>
      <c r="H67" s="385">
        <v>39</v>
      </c>
      <c r="I67" s="385">
        <v>2020</v>
      </c>
      <c r="J67" s="385" t="s">
        <v>108</v>
      </c>
      <c r="K67" s="385">
        <v>13</v>
      </c>
      <c r="L67" s="386">
        <v>2500.5</v>
      </c>
      <c r="N67" s="125">
        <f t="shared" si="0"/>
        <v>685.25</v>
      </c>
      <c r="O67">
        <f t="shared" si="1"/>
        <v>6.8525</v>
      </c>
      <c r="P67">
        <f t="shared" si="2"/>
        <v>8.5656250000000007</v>
      </c>
      <c r="Q67">
        <f t="shared" si="3"/>
        <v>240.60840625000003</v>
      </c>
      <c r="R67">
        <f t="shared" si="4"/>
        <v>514.70840625000005</v>
      </c>
      <c r="S67" s="421">
        <f t="shared" si="5"/>
        <v>9.6224117676464722</v>
      </c>
      <c r="T67" s="421">
        <f t="shared" si="6"/>
        <v>20.584219406118777</v>
      </c>
    </row>
    <row r="68" spans="1:22">
      <c r="A68">
        <v>22510</v>
      </c>
      <c r="B68" t="s">
        <v>108</v>
      </c>
      <c r="C68">
        <v>40</v>
      </c>
      <c r="D68" t="s">
        <v>2229</v>
      </c>
      <c r="E68">
        <v>610.4</v>
      </c>
      <c r="G68" s="392">
        <v>44481</v>
      </c>
      <c r="H68" s="385">
        <v>40</v>
      </c>
      <c r="I68" s="385">
        <v>2020</v>
      </c>
      <c r="J68" s="385" t="s">
        <v>108</v>
      </c>
      <c r="K68" s="385">
        <v>14</v>
      </c>
      <c r="L68" s="386">
        <v>2831.4</v>
      </c>
      <c r="N68" s="125">
        <f t="shared" si="0"/>
        <v>609.25</v>
      </c>
      <c r="O68">
        <f t="shared" si="1"/>
        <v>6.0924999999999994</v>
      </c>
      <c r="P68">
        <f t="shared" si="2"/>
        <v>7.6156249999999996</v>
      </c>
      <c r="Q68">
        <f t="shared" si="3"/>
        <v>213.92290624999998</v>
      </c>
      <c r="R68">
        <f t="shared" si="4"/>
        <v>457.62290625000003</v>
      </c>
      <c r="S68" s="421">
        <f t="shared" si="5"/>
        <v>7.5553756533870153</v>
      </c>
      <c r="T68" s="421">
        <f t="shared" si="6"/>
        <v>16.162425169527442</v>
      </c>
    </row>
    <row r="69" spans="1:22">
      <c r="A69">
        <v>22511</v>
      </c>
      <c r="B69" t="s">
        <v>108</v>
      </c>
      <c r="C69">
        <v>41</v>
      </c>
      <c r="D69" t="s">
        <v>2229</v>
      </c>
      <c r="E69">
        <v>397.4</v>
      </c>
      <c r="G69" s="392">
        <v>44481</v>
      </c>
      <c r="H69" s="385">
        <v>41</v>
      </c>
      <c r="I69" s="385">
        <v>2020</v>
      </c>
      <c r="J69" s="385" t="s">
        <v>108</v>
      </c>
      <c r="K69" s="385">
        <v>15</v>
      </c>
      <c r="L69" s="386">
        <v>2717.3</v>
      </c>
      <c r="N69" s="125">
        <f t="shared" si="0"/>
        <v>396.25</v>
      </c>
      <c r="O69">
        <f t="shared" si="1"/>
        <v>3.9624999999999999</v>
      </c>
      <c r="P69">
        <f t="shared" si="2"/>
        <v>4.953125</v>
      </c>
      <c r="Q69">
        <f t="shared" si="3"/>
        <v>139.13328125000001</v>
      </c>
      <c r="R69">
        <f t="shared" si="4"/>
        <v>297.63328125000004</v>
      </c>
      <c r="S69" s="421">
        <f t="shared" si="5"/>
        <v>5.1202767913001876</v>
      </c>
      <c r="T69" s="421">
        <f t="shared" si="6"/>
        <v>10.953272779965408</v>
      </c>
    </row>
    <row r="70" spans="1:22">
      <c r="A70">
        <v>22512</v>
      </c>
      <c r="B70" t="s">
        <v>108</v>
      </c>
      <c r="C70">
        <v>42</v>
      </c>
      <c r="D70" t="s">
        <v>2229</v>
      </c>
      <c r="E70">
        <v>425.4</v>
      </c>
      <c r="G70" s="392">
        <v>44481</v>
      </c>
      <c r="H70" s="385">
        <v>42</v>
      </c>
      <c r="I70" s="385">
        <v>2020</v>
      </c>
      <c r="J70" s="385" t="s">
        <v>108</v>
      </c>
      <c r="K70" s="385">
        <v>16</v>
      </c>
      <c r="L70" s="386">
        <v>3181.2</v>
      </c>
      <c r="N70" s="125">
        <f t="shared" si="0"/>
        <v>424.25</v>
      </c>
      <c r="O70">
        <f t="shared" si="1"/>
        <v>4.2424999999999997</v>
      </c>
      <c r="P70">
        <f t="shared" si="2"/>
        <v>5.3031249999999996</v>
      </c>
      <c r="Q70">
        <f t="shared" si="3"/>
        <v>148.96478124999999</v>
      </c>
      <c r="R70">
        <f t="shared" si="4"/>
        <v>318.66478124999998</v>
      </c>
      <c r="S70" s="421">
        <f t="shared" si="5"/>
        <v>4.6826600418081226</v>
      </c>
      <c r="T70" s="421">
        <f t="shared" si="6"/>
        <v>10.017125023576009</v>
      </c>
    </row>
    <row r="71" spans="1:22">
      <c r="A71">
        <v>22513</v>
      </c>
      <c r="B71" t="s">
        <v>108</v>
      </c>
      <c r="C71">
        <v>43</v>
      </c>
      <c r="D71" t="s">
        <v>2229</v>
      </c>
      <c r="E71">
        <v>361.4</v>
      </c>
      <c r="G71" s="392">
        <v>44481</v>
      </c>
      <c r="H71" s="385">
        <v>43</v>
      </c>
      <c r="I71" s="385">
        <v>2020</v>
      </c>
      <c r="J71" s="385" t="s">
        <v>108</v>
      </c>
      <c r="K71" s="385">
        <v>17</v>
      </c>
      <c r="L71" s="386">
        <v>2638</v>
      </c>
      <c r="N71" s="125">
        <f t="shared" si="0"/>
        <v>360.25</v>
      </c>
      <c r="O71">
        <f t="shared" si="1"/>
        <v>3.6025</v>
      </c>
      <c r="P71">
        <f t="shared" si="2"/>
        <v>4.5031249999999998</v>
      </c>
      <c r="Q71">
        <f t="shared" si="3"/>
        <v>126.49278124999999</v>
      </c>
      <c r="R71">
        <f t="shared" si="4"/>
        <v>270.59278125000003</v>
      </c>
      <c r="S71" s="421">
        <f t="shared" si="5"/>
        <v>4.7950258244882482</v>
      </c>
      <c r="T71" s="421">
        <f t="shared" si="6"/>
        <v>10.257497393858985</v>
      </c>
    </row>
    <row r="72" spans="1:22">
      <c r="A72">
        <v>22514</v>
      </c>
      <c r="B72" t="s">
        <v>108</v>
      </c>
      <c r="C72">
        <v>44</v>
      </c>
      <c r="D72" t="s">
        <v>2229</v>
      </c>
      <c r="E72">
        <v>341.4</v>
      </c>
      <c r="G72" s="392">
        <v>44481</v>
      </c>
      <c r="H72" s="385">
        <v>44</v>
      </c>
      <c r="I72" s="385">
        <v>2020</v>
      </c>
      <c r="J72" s="385" t="s">
        <v>108</v>
      </c>
      <c r="K72" s="385">
        <v>18</v>
      </c>
      <c r="L72" s="386">
        <v>2889.2</v>
      </c>
      <c r="N72" s="125">
        <f t="shared" si="0"/>
        <v>340.25</v>
      </c>
      <c r="O72">
        <f t="shared" si="1"/>
        <v>3.4024999999999999</v>
      </c>
      <c r="P72">
        <f t="shared" si="2"/>
        <v>4.2531249999999998</v>
      </c>
      <c r="Q72">
        <f t="shared" si="3"/>
        <v>119.47028125</v>
      </c>
      <c r="R72">
        <f t="shared" si="4"/>
        <v>255.57028124999999</v>
      </c>
      <c r="S72" s="421">
        <f t="shared" si="5"/>
        <v>4.1350644209469749</v>
      </c>
      <c r="T72" s="421">
        <f t="shared" si="6"/>
        <v>8.8457109667035869</v>
      </c>
    </row>
    <row r="73" spans="1:22">
      <c r="A73">
        <v>22515</v>
      </c>
      <c r="B73" t="s">
        <v>108</v>
      </c>
      <c r="C73">
        <v>45</v>
      </c>
      <c r="D73" t="s">
        <v>2229</v>
      </c>
      <c r="E73">
        <v>289.39999999999998</v>
      </c>
      <c r="G73" s="392">
        <v>44481</v>
      </c>
      <c r="H73" s="385">
        <v>45</v>
      </c>
      <c r="I73" s="385">
        <v>2020</v>
      </c>
      <c r="J73" s="385" t="s">
        <v>108</v>
      </c>
      <c r="K73" s="385">
        <v>19</v>
      </c>
      <c r="L73" s="386">
        <v>2248.6</v>
      </c>
      <c r="N73" s="125">
        <f t="shared" si="0"/>
        <v>288.25</v>
      </c>
      <c r="O73">
        <f t="shared" si="1"/>
        <v>2.8825000000000003</v>
      </c>
      <c r="P73">
        <f t="shared" si="2"/>
        <v>3.6031250000000004</v>
      </c>
      <c r="Q73">
        <f t="shared" si="3"/>
        <v>101.21178125000002</v>
      </c>
      <c r="R73">
        <f t="shared" si="4"/>
        <v>216.51178125000004</v>
      </c>
      <c r="S73" s="421">
        <f t="shared" si="5"/>
        <v>4.5011020746242112</v>
      </c>
      <c r="T73" s="421">
        <f t="shared" si="6"/>
        <v>9.6287370474962213</v>
      </c>
    </row>
    <row r="74" spans="1:22" s="233" customFormat="1">
      <c r="A74" s="233">
        <v>22516</v>
      </c>
      <c r="B74" s="233" t="s">
        <v>2233</v>
      </c>
      <c r="C74" s="233">
        <v>46</v>
      </c>
      <c r="D74" s="233" t="s">
        <v>2229</v>
      </c>
      <c r="E74" s="233">
        <v>1.4</v>
      </c>
      <c r="G74" s="393">
        <v>44481</v>
      </c>
      <c r="H74" s="394">
        <v>46</v>
      </c>
      <c r="I74" s="394"/>
      <c r="J74" s="394" t="s">
        <v>2233</v>
      </c>
      <c r="K74" s="394"/>
      <c r="L74" s="395"/>
      <c r="N74" s="125"/>
      <c r="O74"/>
      <c r="P74"/>
      <c r="Q74"/>
      <c r="R74"/>
      <c r="S74" s="421"/>
      <c r="T74" s="421"/>
    </row>
    <row r="75" spans="1:22" s="383" customFormat="1">
      <c r="A75" s="383">
        <v>22517</v>
      </c>
      <c r="B75" s="383" t="s">
        <v>2021</v>
      </c>
      <c r="C75" s="383">
        <v>47</v>
      </c>
      <c r="D75" s="383" t="s">
        <v>2229</v>
      </c>
      <c r="E75" s="383">
        <v>366.4</v>
      </c>
      <c r="G75" s="396">
        <v>44481</v>
      </c>
      <c r="H75" s="397">
        <v>47</v>
      </c>
      <c r="I75" s="397" t="s">
        <v>2239</v>
      </c>
      <c r="J75" s="398" t="s">
        <v>2021</v>
      </c>
      <c r="K75" s="397">
        <v>2</v>
      </c>
      <c r="L75" s="399">
        <v>2945.9</v>
      </c>
      <c r="N75" s="125">
        <f t="shared" si="0"/>
        <v>365.25</v>
      </c>
      <c r="O75">
        <f t="shared" si="1"/>
        <v>3.6525000000000003</v>
      </c>
      <c r="P75">
        <f t="shared" si="2"/>
        <v>4.5656250000000007</v>
      </c>
      <c r="Q75">
        <f t="shared" si="3"/>
        <v>128.24840625000002</v>
      </c>
      <c r="R75">
        <f t="shared" si="4"/>
        <v>274.34840625000004</v>
      </c>
      <c r="S75" s="421">
        <f t="shared" si="5"/>
        <v>4.3534541651108327</v>
      </c>
      <c r="T75" s="421">
        <f t="shared" si="6"/>
        <v>9.3128893122645042</v>
      </c>
    </row>
    <row r="76" spans="1:22" ht="15.75" thickBot="1">
      <c r="A76">
        <v>22518</v>
      </c>
      <c r="B76" t="s">
        <v>108</v>
      </c>
      <c r="C76">
        <v>48</v>
      </c>
      <c r="D76" t="s">
        <v>2229</v>
      </c>
      <c r="E76">
        <v>396.4</v>
      </c>
      <c r="G76" s="392">
        <v>44481</v>
      </c>
      <c r="H76" s="388">
        <v>48</v>
      </c>
      <c r="I76" s="388">
        <v>2020</v>
      </c>
      <c r="J76" s="388" t="s">
        <v>108</v>
      </c>
      <c r="K76" s="388">
        <v>20</v>
      </c>
      <c r="L76" s="391">
        <v>2419.8000000000002</v>
      </c>
      <c r="N76" s="125">
        <f t="shared" si="0"/>
        <v>395.25</v>
      </c>
      <c r="O76">
        <f t="shared" si="1"/>
        <v>3.9524999999999997</v>
      </c>
      <c r="P76">
        <f t="shared" si="2"/>
        <v>4.9406249999999998</v>
      </c>
      <c r="Q76">
        <f t="shared" si="3"/>
        <v>138.78215624999999</v>
      </c>
      <c r="R76">
        <f t="shared" si="4"/>
        <v>296.88215624999998</v>
      </c>
      <c r="S76" s="421">
        <f t="shared" si="5"/>
        <v>5.7352738346144303</v>
      </c>
      <c r="T76" s="421">
        <f t="shared" si="6"/>
        <v>12.268871652615918</v>
      </c>
    </row>
    <row r="77" spans="1:22" ht="15.75" thickTop="1">
      <c r="A77">
        <v>22519</v>
      </c>
      <c r="B77" t="s">
        <v>108</v>
      </c>
      <c r="C77">
        <v>49</v>
      </c>
      <c r="D77" t="s">
        <v>2229</v>
      </c>
      <c r="E77">
        <v>468.4</v>
      </c>
      <c r="G77" s="392">
        <v>44481</v>
      </c>
      <c r="H77" s="389">
        <v>49</v>
      </c>
      <c r="I77" s="389">
        <v>2020</v>
      </c>
      <c r="J77" s="389" t="s">
        <v>108</v>
      </c>
      <c r="K77" s="389">
        <v>21</v>
      </c>
      <c r="L77" s="390">
        <v>2619.5</v>
      </c>
      <c r="N77" s="125">
        <f t="shared" si="0"/>
        <v>467.25</v>
      </c>
      <c r="O77">
        <f t="shared" si="1"/>
        <v>4.6725000000000003</v>
      </c>
      <c r="P77">
        <f t="shared" si="2"/>
        <v>5.8406250000000002</v>
      </c>
      <c r="Q77">
        <f t="shared" si="3"/>
        <v>164.06315624999999</v>
      </c>
      <c r="R77">
        <f t="shared" si="4"/>
        <v>350.96315625000005</v>
      </c>
      <c r="S77" s="421">
        <f t="shared" si="5"/>
        <v>6.2631477858369919</v>
      </c>
      <c r="T77" s="421">
        <f t="shared" si="6"/>
        <v>13.398097203664824</v>
      </c>
    </row>
    <row r="78" spans="1:22">
      <c r="A78">
        <v>22520</v>
      </c>
      <c r="B78" t="s">
        <v>109</v>
      </c>
      <c r="C78">
        <v>50</v>
      </c>
      <c r="D78" t="s">
        <v>2229</v>
      </c>
      <c r="E78">
        <v>341.4</v>
      </c>
      <c r="G78" s="392">
        <v>44481</v>
      </c>
      <c r="H78" s="385">
        <v>50</v>
      </c>
      <c r="I78" s="385">
        <v>2020</v>
      </c>
      <c r="J78" s="385" t="s">
        <v>109</v>
      </c>
      <c r="K78" s="385">
        <v>1</v>
      </c>
      <c r="L78" s="386">
        <v>2514.1999999999998</v>
      </c>
      <c r="N78" s="125">
        <f t="shared" si="0"/>
        <v>340.25</v>
      </c>
      <c r="O78">
        <f t="shared" si="1"/>
        <v>3.4024999999999999</v>
      </c>
      <c r="P78">
        <f t="shared" si="2"/>
        <v>4.2531249999999998</v>
      </c>
      <c r="Q78">
        <f t="shared" si="3"/>
        <v>119.47028125</v>
      </c>
      <c r="R78">
        <f t="shared" si="4"/>
        <v>255.57028124999999</v>
      </c>
      <c r="S78" s="421">
        <f t="shared" si="5"/>
        <v>4.751820907246838</v>
      </c>
      <c r="T78" s="421">
        <f t="shared" si="6"/>
        <v>10.16507363177154</v>
      </c>
    </row>
    <row r="79" spans="1:22">
      <c r="A79">
        <v>22521</v>
      </c>
      <c r="B79" t="s">
        <v>109</v>
      </c>
      <c r="C79">
        <v>51</v>
      </c>
      <c r="D79" t="s">
        <v>2229</v>
      </c>
      <c r="E79">
        <v>306.39999999999998</v>
      </c>
      <c r="G79" s="392">
        <v>44481</v>
      </c>
      <c r="H79" s="385">
        <v>51</v>
      </c>
      <c r="I79" s="385">
        <v>2020</v>
      </c>
      <c r="J79" s="385" t="s">
        <v>109</v>
      </c>
      <c r="K79" s="385">
        <v>2</v>
      </c>
      <c r="L79" s="386">
        <v>2128.1</v>
      </c>
      <c r="N79" s="125">
        <f t="shared" si="0"/>
        <v>305.25</v>
      </c>
      <c r="O79">
        <f t="shared" si="1"/>
        <v>3.0525000000000002</v>
      </c>
      <c r="P79">
        <f t="shared" si="2"/>
        <v>3.8156250000000003</v>
      </c>
      <c r="Q79">
        <f t="shared" si="3"/>
        <v>107.18090625000001</v>
      </c>
      <c r="R79">
        <f t="shared" si="4"/>
        <v>229.28090625000002</v>
      </c>
      <c r="S79" s="421">
        <f t="shared" si="5"/>
        <v>5.0364600465203715</v>
      </c>
      <c r="T79" s="421">
        <f t="shared" si="6"/>
        <v>10.773972381467036</v>
      </c>
    </row>
    <row r="80" spans="1:22">
      <c r="A80">
        <v>22522</v>
      </c>
      <c r="B80" t="s">
        <v>109</v>
      </c>
      <c r="C80">
        <v>52</v>
      </c>
      <c r="D80" t="s">
        <v>2229</v>
      </c>
      <c r="E80">
        <v>417.4</v>
      </c>
      <c r="G80" s="392">
        <v>44481</v>
      </c>
      <c r="H80" s="385">
        <v>52</v>
      </c>
      <c r="I80" s="385">
        <v>2020</v>
      </c>
      <c r="J80" s="385" t="s">
        <v>109</v>
      </c>
      <c r="K80" s="385">
        <v>3</v>
      </c>
      <c r="L80" s="386">
        <v>2920.8</v>
      </c>
      <c r="N80" s="125">
        <f t="shared" si="0"/>
        <v>416.25</v>
      </c>
      <c r="O80">
        <f t="shared" si="1"/>
        <v>4.1624999999999996</v>
      </c>
      <c r="P80">
        <f t="shared" si="2"/>
        <v>5.203125</v>
      </c>
      <c r="Q80">
        <f t="shared" si="3"/>
        <v>146.15578124999999</v>
      </c>
      <c r="R80">
        <f t="shared" si="4"/>
        <v>312.65578125000002</v>
      </c>
      <c r="S80" s="421">
        <f t="shared" si="5"/>
        <v>5.0039640252670488</v>
      </c>
      <c r="T80" s="421">
        <f t="shared" si="6"/>
        <v>10.704457040879213</v>
      </c>
    </row>
    <row r="81" spans="1:22">
      <c r="A81">
        <v>22523</v>
      </c>
      <c r="B81" t="s">
        <v>109</v>
      </c>
      <c r="C81">
        <v>53</v>
      </c>
      <c r="D81" t="s">
        <v>2229</v>
      </c>
      <c r="E81">
        <v>292.39999999999998</v>
      </c>
      <c r="G81" s="392">
        <v>44481</v>
      </c>
      <c r="H81" s="385">
        <v>53</v>
      </c>
      <c r="I81" s="385">
        <v>2020</v>
      </c>
      <c r="J81" s="385" t="s">
        <v>109</v>
      </c>
      <c r="K81" s="385">
        <v>4</v>
      </c>
      <c r="L81" s="386">
        <v>2589</v>
      </c>
      <c r="N81" s="125">
        <f t="shared" si="0"/>
        <v>291.25</v>
      </c>
      <c r="O81">
        <f t="shared" si="1"/>
        <v>2.9125000000000001</v>
      </c>
      <c r="P81">
        <f t="shared" si="2"/>
        <v>3.640625</v>
      </c>
      <c r="Q81">
        <f t="shared" si="3"/>
        <v>102.26515625</v>
      </c>
      <c r="R81">
        <f t="shared" si="4"/>
        <v>218.76515625000002</v>
      </c>
      <c r="S81" s="421">
        <f t="shared" si="5"/>
        <v>3.9499867226728469</v>
      </c>
      <c r="T81" s="421">
        <f t="shared" si="6"/>
        <v>8.4497935979142529</v>
      </c>
    </row>
    <row r="82" spans="1:22">
      <c r="A82">
        <v>22524</v>
      </c>
      <c r="B82" t="s">
        <v>109</v>
      </c>
      <c r="C82">
        <v>54</v>
      </c>
      <c r="D82" t="s">
        <v>2229</v>
      </c>
      <c r="E82">
        <v>301.39999999999998</v>
      </c>
      <c r="G82" s="392">
        <v>44481</v>
      </c>
      <c r="H82" s="385">
        <v>54</v>
      </c>
      <c r="I82" s="385">
        <v>2020</v>
      </c>
      <c r="J82" s="385" t="s">
        <v>109</v>
      </c>
      <c r="K82" s="385">
        <v>5</v>
      </c>
      <c r="L82" s="386">
        <v>2422.1999999999998</v>
      </c>
      <c r="N82" s="125">
        <f t="shared" si="0"/>
        <v>300.25</v>
      </c>
      <c r="O82">
        <f t="shared" si="1"/>
        <v>3.0025000000000004</v>
      </c>
      <c r="P82">
        <f t="shared" si="2"/>
        <v>3.7531250000000007</v>
      </c>
      <c r="Q82">
        <f t="shared" si="3"/>
        <v>105.42528125000003</v>
      </c>
      <c r="R82">
        <f t="shared" si="4"/>
        <v>225.52528125000006</v>
      </c>
      <c r="S82" s="421">
        <f t="shared" si="5"/>
        <v>4.3524597989431113</v>
      </c>
      <c r="T82" s="421">
        <f t="shared" si="6"/>
        <v>9.3107621686896245</v>
      </c>
    </row>
    <row r="83" spans="1:22">
      <c r="A83">
        <v>22525</v>
      </c>
      <c r="B83" t="s">
        <v>109</v>
      </c>
      <c r="C83">
        <v>55</v>
      </c>
      <c r="D83" t="s">
        <v>2229</v>
      </c>
      <c r="E83">
        <v>246.4</v>
      </c>
      <c r="G83" s="392">
        <v>44481</v>
      </c>
      <c r="H83" s="385">
        <v>55</v>
      </c>
      <c r="I83" s="385">
        <v>2020</v>
      </c>
      <c r="J83" s="385" t="s">
        <v>109</v>
      </c>
      <c r="K83" s="385">
        <v>6</v>
      </c>
      <c r="L83" s="386">
        <v>2084.1</v>
      </c>
      <c r="N83" s="125">
        <f t="shared" si="0"/>
        <v>245.25</v>
      </c>
      <c r="O83">
        <f t="shared" si="1"/>
        <v>2.4525000000000001</v>
      </c>
      <c r="P83">
        <f t="shared" si="2"/>
        <v>3.0656250000000003</v>
      </c>
      <c r="Q83">
        <f t="shared" si="3"/>
        <v>86.113406250000011</v>
      </c>
      <c r="R83">
        <f t="shared" si="4"/>
        <v>184.21340625000002</v>
      </c>
      <c r="S83" s="421">
        <f t="shared" si="5"/>
        <v>4.131922952353535</v>
      </c>
      <c r="T83" s="421">
        <f t="shared" si="6"/>
        <v>8.8389907514034842</v>
      </c>
    </row>
    <row r="84" spans="1:22">
      <c r="A84">
        <v>22526</v>
      </c>
      <c r="B84" t="s">
        <v>109</v>
      </c>
      <c r="C84">
        <v>56</v>
      </c>
      <c r="D84" t="s">
        <v>2229</v>
      </c>
      <c r="E84">
        <v>215.4</v>
      </c>
      <c r="G84" s="392">
        <v>44481</v>
      </c>
      <c r="H84" s="385">
        <v>56</v>
      </c>
      <c r="I84" s="385">
        <v>2020</v>
      </c>
      <c r="J84" s="385" t="s">
        <v>109</v>
      </c>
      <c r="K84" s="385">
        <v>7</v>
      </c>
      <c r="L84" s="386">
        <v>2030.3</v>
      </c>
      <c r="N84" s="125">
        <f t="shared" si="0"/>
        <v>214.25</v>
      </c>
      <c r="O84">
        <f t="shared" si="1"/>
        <v>2.1425000000000001</v>
      </c>
      <c r="P84">
        <f t="shared" si="2"/>
        <v>2.6781250000000001</v>
      </c>
      <c r="Q84">
        <f t="shared" si="3"/>
        <v>75.228531250000003</v>
      </c>
      <c r="R84">
        <f t="shared" si="4"/>
        <v>160.92853125000002</v>
      </c>
      <c r="S84" s="421">
        <f t="shared" si="5"/>
        <v>3.7052913978229824</v>
      </c>
      <c r="T84" s="421">
        <f t="shared" si="6"/>
        <v>7.926342474018619</v>
      </c>
    </row>
    <row r="85" spans="1:22">
      <c r="A85">
        <v>22527</v>
      </c>
      <c r="B85" t="s">
        <v>109</v>
      </c>
      <c r="C85">
        <v>57</v>
      </c>
      <c r="D85" t="s">
        <v>2229</v>
      </c>
      <c r="E85">
        <v>221.4</v>
      </c>
      <c r="G85" s="392">
        <v>44481</v>
      </c>
      <c r="H85" s="385">
        <v>57</v>
      </c>
      <c r="I85" s="385">
        <v>2020</v>
      </c>
      <c r="J85" s="385" t="s">
        <v>109</v>
      </c>
      <c r="K85" s="385">
        <v>8</v>
      </c>
      <c r="L85" s="386">
        <v>2073.1999999999998</v>
      </c>
      <c r="N85" s="125">
        <f t="shared" si="0"/>
        <v>220.25</v>
      </c>
      <c r="O85">
        <f t="shared" si="1"/>
        <v>2.2025000000000001</v>
      </c>
      <c r="P85">
        <f t="shared" si="2"/>
        <v>2.7531250000000003</v>
      </c>
      <c r="Q85">
        <f t="shared" si="3"/>
        <v>77.335281250000008</v>
      </c>
      <c r="R85">
        <f t="shared" si="4"/>
        <v>165.43528125000003</v>
      </c>
      <c r="S85" s="421">
        <f t="shared" si="5"/>
        <v>3.7302373745900064</v>
      </c>
      <c r="T85" s="421">
        <f t="shared" si="6"/>
        <v>7.9797067938452662</v>
      </c>
    </row>
    <row r="86" spans="1:22" s="233" customFormat="1">
      <c r="A86" s="233">
        <v>22528</v>
      </c>
      <c r="B86" s="233" t="s">
        <v>2234</v>
      </c>
      <c r="C86" s="233">
        <v>58</v>
      </c>
      <c r="D86" s="233" t="s">
        <v>2229</v>
      </c>
      <c r="E86" s="233">
        <v>0.4</v>
      </c>
      <c r="G86" s="393">
        <v>44481</v>
      </c>
      <c r="H86" s="394">
        <v>58</v>
      </c>
      <c r="I86" s="394"/>
      <c r="J86" s="394" t="s">
        <v>2234</v>
      </c>
      <c r="K86" s="394"/>
      <c r="L86" s="395"/>
      <c r="N86" s="125"/>
      <c r="O86"/>
      <c r="P86"/>
      <c r="Q86"/>
      <c r="R86"/>
      <c r="S86" s="421"/>
      <c r="T86" s="421"/>
    </row>
    <row r="87" spans="1:22" s="383" customFormat="1">
      <c r="A87" s="383">
        <v>22529</v>
      </c>
      <c r="B87" s="383" t="s">
        <v>2021</v>
      </c>
      <c r="C87" s="383">
        <v>59</v>
      </c>
      <c r="D87" s="383" t="s">
        <v>2229</v>
      </c>
      <c r="E87" s="383">
        <v>344.4</v>
      </c>
      <c r="G87" s="396">
        <v>44481</v>
      </c>
      <c r="H87" s="397">
        <v>59</v>
      </c>
      <c r="I87" s="397" t="s">
        <v>2239</v>
      </c>
      <c r="J87" s="398" t="s">
        <v>2021</v>
      </c>
      <c r="K87" s="397">
        <v>3</v>
      </c>
      <c r="L87" s="399">
        <v>2764.3</v>
      </c>
      <c r="N87" s="125">
        <f t="shared" si="0"/>
        <v>343.25</v>
      </c>
      <c r="O87">
        <f t="shared" si="1"/>
        <v>3.4325000000000001</v>
      </c>
      <c r="P87">
        <f t="shared" si="2"/>
        <v>4.2906250000000004</v>
      </c>
      <c r="Q87">
        <f t="shared" si="3"/>
        <v>120.52365625000002</v>
      </c>
      <c r="R87">
        <f t="shared" si="4"/>
        <v>257.82365625000006</v>
      </c>
      <c r="S87" s="421">
        <f t="shared" si="5"/>
        <v>4.3600063759360426</v>
      </c>
      <c r="T87" s="421">
        <f t="shared" si="6"/>
        <v>9.3269057718047979</v>
      </c>
    </row>
    <row r="88" spans="1:22" ht="15.75" thickBot="1">
      <c r="A88">
        <v>22530</v>
      </c>
      <c r="B88" t="s">
        <v>109</v>
      </c>
      <c r="C88">
        <v>60</v>
      </c>
      <c r="D88" t="s">
        <v>2229</v>
      </c>
      <c r="E88">
        <v>262.39999999999998</v>
      </c>
      <c r="G88" s="392">
        <v>44481</v>
      </c>
      <c r="H88" s="388">
        <v>60</v>
      </c>
      <c r="I88" s="388">
        <v>2020</v>
      </c>
      <c r="J88" s="388" t="s">
        <v>109</v>
      </c>
      <c r="K88" s="388">
        <v>9</v>
      </c>
      <c r="L88" s="391">
        <v>2418.3000000000002</v>
      </c>
      <c r="N88" s="125">
        <f t="shared" si="0"/>
        <v>261.25</v>
      </c>
      <c r="O88">
        <f t="shared" si="1"/>
        <v>2.6124999999999998</v>
      </c>
      <c r="P88">
        <f t="shared" si="2"/>
        <v>3.265625</v>
      </c>
      <c r="Q88">
        <f t="shared" si="3"/>
        <v>91.731406250000006</v>
      </c>
      <c r="R88">
        <f t="shared" si="4"/>
        <v>196.23140625000002</v>
      </c>
      <c r="S88" s="421">
        <f t="shared" si="5"/>
        <v>3.7932186349915229</v>
      </c>
      <c r="T88" s="421">
        <f t="shared" si="6"/>
        <v>8.1144360191043283</v>
      </c>
    </row>
    <row r="89" spans="1:22" ht="15.75" thickTop="1">
      <c r="A89">
        <v>22531</v>
      </c>
      <c r="B89" t="s">
        <v>109</v>
      </c>
      <c r="C89">
        <v>61</v>
      </c>
      <c r="D89" t="s">
        <v>2229</v>
      </c>
      <c r="E89">
        <v>254.4</v>
      </c>
      <c r="G89" s="392">
        <v>44481</v>
      </c>
      <c r="H89" s="389">
        <v>61</v>
      </c>
      <c r="I89" s="389">
        <v>2020</v>
      </c>
      <c r="J89" s="389" t="s">
        <v>109</v>
      </c>
      <c r="K89" s="389">
        <v>10</v>
      </c>
      <c r="L89" s="390">
        <v>2270.5</v>
      </c>
      <c r="N89" s="125">
        <f t="shared" si="0"/>
        <v>253.25</v>
      </c>
      <c r="O89">
        <f t="shared" si="1"/>
        <v>2.5324999999999998</v>
      </c>
      <c r="P89">
        <f t="shared" si="2"/>
        <v>3.1656249999999995</v>
      </c>
      <c r="Q89">
        <f t="shared" si="3"/>
        <v>88.92240624999998</v>
      </c>
      <c r="R89">
        <f t="shared" si="4"/>
        <v>190.22240624999998</v>
      </c>
      <c r="S89" s="421">
        <f t="shared" si="5"/>
        <v>3.9164239704910808</v>
      </c>
      <c r="T89" s="421">
        <f t="shared" si="6"/>
        <v>8.3779963113851572</v>
      </c>
    </row>
    <row r="90" spans="1:22">
      <c r="A90">
        <v>22532</v>
      </c>
      <c r="B90" t="s">
        <v>109</v>
      </c>
      <c r="C90">
        <v>62</v>
      </c>
      <c r="D90" t="s">
        <v>2229</v>
      </c>
      <c r="E90">
        <v>417.4</v>
      </c>
      <c r="G90" s="392">
        <v>44481</v>
      </c>
      <c r="H90" s="385">
        <v>62</v>
      </c>
      <c r="I90" s="385">
        <v>2020</v>
      </c>
      <c r="J90" s="385" t="s">
        <v>109</v>
      </c>
      <c r="K90" s="385">
        <v>11</v>
      </c>
      <c r="L90" s="386">
        <v>2228.1</v>
      </c>
      <c r="N90" s="125">
        <f t="shared" si="0"/>
        <v>416.25</v>
      </c>
      <c r="O90">
        <f t="shared" si="1"/>
        <v>4.1624999999999996</v>
      </c>
      <c r="P90">
        <f t="shared" si="2"/>
        <v>5.203125</v>
      </c>
      <c r="Q90">
        <f t="shared" si="3"/>
        <v>146.15578124999999</v>
      </c>
      <c r="R90">
        <f t="shared" si="4"/>
        <v>312.65578125000002</v>
      </c>
      <c r="S90" s="421">
        <f t="shared" si="5"/>
        <v>6.5596598559310619</v>
      </c>
      <c r="T90" s="421">
        <f t="shared" si="6"/>
        <v>14.032394472869262</v>
      </c>
    </row>
    <row r="91" spans="1:22" s="413" customFormat="1">
      <c r="A91" s="413">
        <v>22533</v>
      </c>
      <c r="B91" s="413" t="s">
        <v>109</v>
      </c>
      <c r="C91" s="413">
        <v>63</v>
      </c>
      <c r="D91" s="413" t="s">
        <v>2229</v>
      </c>
      <c r="E91" s="413">
        <v>603.4</v>
      </c>
      <c r="G91" s="424">
        <v>44481</v>
      </c>
      <c r="H91" s="416">
        <v>63</v>
      </c>
      <c r="I91" s="416">
        <v>2020</v>
      </c>
      <c r="J91" s="416" t="s">
        <v>109</v>
      </c>
      <c r="K91" s="416" t="s">
        <v>1886</v>
      </c>
      <c r="L91" s="417">
        <v>2508.1999999999998</v>
      </c>
      <c r="N91" s="418">
        <f t="shared" si="0"/>
        <v>602.25</v>
      </c>
      <c r="O91" s="413">
        <f t="shared" si="1"/>
        <v>6.0224999999999991</v>
      </c>
      <c r="P91" s="413">
        <f t="shared" si="2"/>
        <v>7.5281249999999993</v>
      </c>
      <c r="Q91" s="413">
        <f t="shared" si="3"/>
        <v>211.46503124999998</v>
      </c>
      <c r="R91" s="413">
        <f t="shared" si="4"/>
        <v>452.36503124999996</v>
      </c>
      <c r="S91" s="413">
        <f t="shared" si="5"/>
        <v>8.4309477414081808</v>
      </c>
      <c r="T91" s="413">
        <f t="shared" si="6"/>
        <v>18.035444990431383</v>
      </c>
      <c r="U91" s="533">
        <f>(S91-S92)/AVERAGE(S91:S92)</f>
        <v>-6.344225618025362E-3</v>
      </c>
    </row>
    <row r="92" spans="1:22" s="413" customFormat="1">
      <c r="A92" s="413">
        <v>22534</v>
      </c>
      <c r="B92" s="413" t="s">
        <v>109</v>
      </c>
      <c r="C92" s="413">
        <v>64</v>
      </c>
      <c r="D92" s="413" t="s">
        <v>2229</v>
      </c>
      <c r="E92" s="413">
        <v>503.4</v>
      </c>
      <c r="G92" s="424">
        <v>44481</v>
      </c>
      <c r="H92" s="416">
        <v>64</v>
      </c>
      <c r="I92" s="416">
        <v>2020</v>
      </c>
      <c r="J92" s="416" t="s">
        <v>109</v>
      </c>
      <c r="K92" s="416" t="s">
        <v>1889</v>
      </c>
      <c r="L92" s="417">
        <v>2078.5</v>
      </c>
      <c r="N92" s="418">
        <f t="shared" si="0"/>
        <v>502.25</v>
      </c>
      <c r="O92" s="413">
        <f t="shared" si="1"/>
        <v>5.0225</v>
      </c>
      <c r="P92" s="413">
        <f t="shared" si="2"/>
        <v>6.2781250000000002</v>
      </c>
      <c r="Q92" s="413">
        <f t="shared" si="3"/>
        <v>176.35253125</v>
      </c>
      <c r="R92" s="413">
        <f t="shared" si="4"/>
        <v>377.25253125</v>
      </c>
      <c r="S92" s="413">
        <f t="shared" si="5"/>
        <v>8.484605785422179</v>
      </c>
      <c r="T92" s="413">
        <f t="shared" si="6"/>
        <v>18.150230033678135</v>
      </c>
      <c r="V92" s="419"/>
    </row>
    <row r="93" spans="1:22">
      <c r="A93">
        <v>22535</v>
      </c>
      <c r="B93" t="s">
        <v>109</v>
      </c>
      <c r="C93">
        <v>65</v>
      </c>
      <c r="D93" t="s">
        <v>2229</v>
      </c>
      <c r="E93">
        <v>615.4</v>
      </c>
      <c r="G93" s="392">
        <v>44481</v>
      </c>
      <c r="H93" s="385">
        <v>65</v>
      </c>
      <c r="I93" s="385">
        <v>2020</v>
      </c>
      <c r="J93" s="385" t="s">
        <v>109</v>
      </c>
      <c r="K93" s="385">
        <v>13</v>
      </c>
      <c r="L93" s="386">
        <v>3037.2</v>
      </c>
      <c r="N93" s="125">
        <f t="shared" si="0"/>
        <v>614.25</v>
      </c>
      <c r="O93">
        <f t="shared" si="1"/>
        <v>6.1425000000000001</v>
      </c>
      <c r="P93">
        <f t="shared" si="2"/>
        <v>7.6781249999999996</v>
      </c>
      <c r="Q93">
        <f t="shared" si="3"/>
        <v>215.67853124999999</v>
      </c>
      <c r="R93">
        <f t="shared" si="4"/>
        <v>461.37853124999998</v>
      </c>
      <c r="S93" s="421">
        <f t="shared" si="5"/>
        <v>7.1012291337416045</v>
      </c>
      <c r="T93" s="421">
        <f t="shared" si="6"/>
        <v>15.190917004148558</v>
      </c>
    </row>
    <row r="94" spans="1:22" s="413" customFormat="1">
      <c r="A94" s="413">
        <v>22536</v>
      </c>
      <c r="B94" s="413" t="s">
        <v>109</v>
      </c>
      <c r="C94" s="413">
        <v>66</v>
      </c>
      <c r="D94" s="413" t="s">
        <v>2229</v>
      </c>
      <c r="E94" s="413">
        <v>501.4</v>
      </c>
      <c r="G94" s="424">
        <v>44481</v>
      </c>
      <c r="H94" s="416">
        <v>66</v>
      </c>
      <c r="I94" s="416">
        <v>2020</v>
      </c>
      <c r="J94" s="416" t="s">
        <v>109</v>
      </c>
      <c r="K94" s="416" t="s">
        <v>1900</v>
      </c>
      <c r="L94" s="417">
        <v>2435.5</v>
      </c>
      <c r="N94" s="418">
        <f t="shared" ref="N94:N105" si="7">E94-$T$26</f>
        <v>500.25</v>
      </c>
      <c r="O94" s="413">
        <f t="shared" ref="O94:O105" si="8">(N94/1000)*10</f>
        <v>5.0024999999999995</v>
      </c>
      <c r="P94" s="413">
        <f t="shared" ref="P94:P105" si="9">O94*(5/4)</f>
        <v>6.2531249999999989</v>
      </c>
      <c r="Q94" s="413">
        <f t="shared" ref="Q94:Q105" si="10">P94*28.09</f>
        <v>175.65028124999998</v>
      </c>
      <c r="R94" s="413">
        <f t="shared" ref="R94:R105" si="11">P94*(28.09+2*16)</f>
        <v>375.75028124999994</v>
      </c>
      <c r="S94" s="413">
        <f t="shared" ref="S94:S105" si="12">(Q94/L94)*100</f>
        <v>7.2120829911722435</v>
      </c>
      <c r="T94" s="413">
        <f t="shared" ref="T94:T105" si="13">(R94/L94)*100</f>
        <v>15.428055070827343</v>
      </c>
      <c r="U94" s="533">
        <f>(S94-S95)/AVERAGE(S94:S95)</f>
        <v>-6.6937851963062428E-3</v>
      </c>
    </row>
    <row r="95" spans="1:22" s="413" customFormat="1">
      <c r="A95" s="413">
        <v>22537</v>
      </c>
      <c r="B95" s="413" t="s">
        <v>109</v>
      </c>
      <c r="C95" s="413">
        <v>67</v>
      </c>
      <c r="D95" s="413" t="s">
        <v>2229</v>
      </c>
      <c r="E95" s="413">
        <v>458.4</v>
      </c>
      <c r="G95" s="424">
        <v>44481</v>
      </c>
      <c r="H95" s="416">
        <v>67</v>
      </c>
      <c r="I95" s="416">
        <v>2020</v>
      </c>
      <c r="J95" s="416" t="s">
        <v>109</v>
      </c>
      <c r="K95" s="416" t="s">
        <v>1901</v>
      </c>
      <c r="L95" s="417">
        <v>2211.3000000000002</v>
      </c>
      <c r="N95" s="418">
        <f t="shared" si="7"/>
        <v>457.25</v>
      </c>
      <c r="O95" s="413">
        <f t="shared" si="8"/>
        <v>4.5724999999999998</v>
      </c>
      <c r="P95" s="413">
        <f t="shared" si="9"/>
        <v>5.7156249999999993</v>
      </c>
      <c r="Q95" s="413">
        <f t="shared" si="10"/>
        <v>160.55190624999997</v>
      </c>
      <c r="R95" s="413">
        <f t="shared" si="11"/>
        <v>343.45190624999998</v>
      </c>
      <c r="S95" s="413">
        <f t="shared" si="12"/>
        <v>7.26052124316013</v>
      </c>
      <c r="T95" s="413">
        <f t="shared" si="13"/>
        <v>15.531673958757288</v>
      </c>
      <c r="V95" s="419"/>
    </row>
    <row r="96" spans="1:22">
      <c r="A96">
        <v>22538</v>
      </c>
      <c r="B96" t="s">
        <v>109</v>
      </c>
      <c r="C96">
        <v>68</v>
      </c>
      <c r="D96" t="s">
        <v>2229</v>
      </c>
      <c r="E96">
        <v>488.4</v>
      </c>
      <c r="G96" s="392">
        <v>44481</v>
      </c>
      <c r="H96" s="385">
        <v>68</v>
      </c>
      <c r="I96" s="385">
        <v>2020</v>
      </c>
      <c r="J96" s="385" t="s">
        <v>109</v>
      </c>
      <c r="K96" s="385">
        <v>15</v>
      </c>
      <c r="L96" s="386">
        <v>2311</v>
      </c>
      <c r="N96" s="125">
        <f t="shared" si="7"/>
        <v>487.25</v>
      </c>
      <c r="O96">
        <f t="shared" si="8"/>
        <v>4.8725000000000005</v>
      </c>
      <c r="P96">
        <f t="shared" si="9"/>
        <v>6.0906250000000011</v>
      </c>
      <c r="Q96">
        <f t="shared" si="10"/>
        <v>171.08565625000003</v>
      </c>
      <c r="R96">
        <f t="shared" si="11"/>
        <v>365.98565625000009</v>
      </c>
      <c r="S96" s="421">
        <f t="shared" si="12"/>
        <v>7.403100659887496</v>
      </c>
      <c r="T96" s="421">
        <f t="shared" si="13"/>
        <v>15.836679197317183</v>
      </c>
    </row>
    <row r="97" spans="1:20">
      <c r="A97">
        <v>22539</v>
      </c>
      <c r="B97" t="s">
        <v>109</v>
      </c>
      <c r="C97">
        <v>69</v>
      </c>
      <c r="D97" t="s">
        <v>2229</v>
      </c>
      <c r="E97">
        <v>336.4</v>
      </c>
      <c r="G97" s="392">
        <v>44481</v>
      </c>
      <c r="H97" s="385">
        <v>69</v>
      </c>
      <c r="I97" s="385">
        <v>2020</v>
      </c>
      <c r="J97" s="385" t="s">
        <v>109</v>
      </c>
      <c r="K97" s="385">
        <v>16</v>
      </c>
      <c r="L97" s="386">
        <v>2177.8000000000002</v>
      </c>
      <c r="N97" s="125">
        <f t="shared" si="7"/>
        <v>335.25</v>
      </c>
      <c r="O97">
        <f t="shared" si="8"/>
        <v>3.3525</v>
      </c>
      <c r="P97">
        <f t="shared" si="9"/>
        <v>4.1906249999999998</v>
      </c>
      <c r="Q97">
        <f t="shared" si="10"/>
        <v>117.71465624999999</v>
      </c>
      <c r="R97">
        <f t="shared" si="11"/>
        <v>251.81465625000001</v>
      </c>
      <c r="S97" s="421">
        <f t="shared" si="12"/>
        <v>5.4052096726053804</v>
      </c>
      <c r="T97" s="421">
        <f t="shared" si="13"/>
        <v>11.562799901276517</v>
      </c>
    </row>
    <row r="98" spans="1:20">
      <c r="A98">
        <v>22540</v>
      </c>
      <c r="B98" t="s">
        <v>109</v>
      </c>
      <c r="C98">
        <v>70</v>
      </c>
      <c r="D98" t="s">
        <v>2229</v>
      </c>
      <c r="E98">
        <v>378.4</v>
      </c>
      <c r="G98" s="392">
        <v>44481</v>
      </c>
      <c r="H98" s="385">
        <v>70</v>
      </c>
      <c r="I98" s="385">
        <v>2020</v>
      </c>
      <c r="J98" s="385" t="s">
        <v>109</v>
      </c>
      <c r="K98" s="385">
        <v>17</v>
      </c>
      <c r="L98" s="386">
        <v>2615.1999999999998</v>
      </c>
      <c r="N98" s="125">
        <f t="shared" si="7"/>
        <v>377.25</v>
      </c>
      <c r="O98">
        <f t="shared" si="8"/>
        <v>3.7725</v>
      </c>
      <c r="P98">
        <f t="shared" si="9"/>
        <v>4.7156250000000002</v>
      </c>
      <c r="Q98">
        <f t="shared" si="10"/>
        <v>132.46190625</v>
      </c>
      <c r="R98">
        <f t="shared" si="11"/>
        <v>283.36190625</v>
      </c>
      <c r="S98" s="421">
        <f t="shared" si="12"/>
        <v>5.0650774797338638</v>
      </c>
      <c r="T98" s="421">
        <f t="shared" si="13"/>
        <v>10.835190664193945</v>
      </c>
    </row>
    <row r="99" spans="1:20">
      <c r="A99">
        <v>22541</v>
      </c>
      <c r="B99" t="s">
        <v>109</v>
      </c>
      <c r="C99">
        <v>71</v>
      </c>
      <c r="D99" t="s">
        <v>2229</v>
      </c>
      <c r="E99">
        <v>378.4</v>
      </c>
      <c r="G99" s="392">
        <v>44481</v>
      </c>
      <c r="H99" s="385">
        <v>71</v>
      </c>
      <c r="I99" s="385">
        <v>2020</v>
      </c>
      <c r="J99" s="385" t="s">
        <v>109</v>
      </c>
      <c r="K99" s="385">
        <v>18</v>
      </c>
      <c r="L99" s="386">
        <v>2718.9</v>
      </c>
      <c r="N99" s="125">
        <f t="shared" si="7"/>
        <v>377.25</v>
      </c>
      <c r="O99">
        <f t="shared" si="8"/>
        <v>3.7725</v>
      </c>
      <c r="P99">
        <f t="shared" si="9"/>
        <v>4.7156250000000002</v>
      </c>
      <c r="Q99">
        <f t="shared" si="10"/>
        <v>132.46190625</v>
      </c>
      <c r="R99">
        <f t="shared" si="11"/>
        <v>283.36190625</v>
      </c>
      <c r="S99" s="421">
        <f t="shared" si="12"/>
        <v>4.8718932748538011</v>
      </c>
      <c r="T99" s="421">
        <f t="shared" si="13"/>
        <v>10.421931893412777</v>
      </c>
    </row>
    <row r="100" spans="1:20" ht="15.75" thickBot="1">
      <c r="A100">
        <v>22542</v>
      </c>
      <c r="B100" t="s">
        <v>109</v>
      </c>
      <c r="C100">
        <v>72</v>
      </c>
      <c r="D100" t="s">
        <v>2229</v>
      </c>
      <c r="E100">
        <v>328.4</v>
      </c>
      <c r="G100" s="392">
        <v>44481</v>
      </c>
      <c r="H100" s="388">
        <v>72</v>
      </c>
      <c r="I100" s="388">
        <v>2020</v>
      </c>
      <c r="J100" s="388" t="s">
        <v>109</v>
      </c>
      <c r="K100" s="388">
        <v>19</v>
      </c>
      <c r="L100" s="391">
        <v>2454.6999999999998</v>
      </c>
      <c r="N100" s="125">
        <f t="shared" si="7"/>
        <v>327.25</v>
      </c>
      <c r="O100">
        <f t="shared" si="8"/>
        <v>3.2725</v>
      </c>
      <c r="P100">
        <f t="shared" si="9"/>
        <v>4.0906250000000002</v>
      </c>
      <c r="Q100">
        <f t="shared" si="10"/>
        <v>114.90565625000001</v>
      </c>
      <c r="R100">
        <f t="shared" si="11"/>
        <v>245.80565625000003</v>
      </c>
      <c r="S100" s="421">
        <f t="shared" si="12"/>
        <v>4.6810468183484746</v>
      </c>
      <c r="T100" s="421">
        <f t="shared" si="13"/>
        <v>10.013674023302238</v>
      </c>
    </row>
    <row r="101" spans="1:20" ht="15.75" thickTop="1">
      <c r="A101">
        <v>22543</v>
      </c>
      <c r="B101" t="s">
        <v>109</v>
      </c>
      <c r="C101">
        <v>73</v>
      </c>
      <c r="D101" t="s">
        <v>2229</v>
      </c>
      <c r="E101">
        <v>357.4</v>
      </c>
      <c r="G101" s="392">
        <v>44481</v>
      </c>
      <c r="H101" s="389">
        <v>73</v>
      </c>
      <c r="I101" s="389">
        <v>2020</v>
      </c>
      <c r="J101" s="389" t="s">
        <v>109</v>
      </c>
      <c r="K101" s="389">
        <v>20</v>
      </c>
      <c r="L101" s="390">
        <v>2630</v>
      </c>
      <c r="N101" s="125">
        <f t="shared" si="7"/>
        <v>356.25</v>
      </c>
      <c r="O101">
        <f t="shared" si="8"/>
        <v>3.5625</v>
      </c>
      <c r="P101">
        <f t="shared" si="9"/>
        <v>4.453125</v>
      </c>
      <c r="Q101">
        <f t="shared" si="10"/>
        <v>125.08828124999999</v>
      </c>
      <c r="R101">
        <f t="shared" si="11"/>
        <v>267.58828125000002</v>
      </c>
      <c r="S101" s="421">
        <f t="shared" si="12"/>
        <v>4.7562084125475277</v>
      </c>
      <c r="T101" s="421">
        <f t="shared" si="13"/>
        <v>10.174459363117872</v>
      </c>
    </row>
    <row r="102" spans="1:20">
      <c r="A102">
        <v>22544</v>
      </c>
      <c r="B102" t="s">
        <v>109</v>
      </c>
      <c r="C102">
        <v>74</v>
      </c>
      <c r="D102" t="s">
        <v>2229</v>
      </c>
      <c r="E102">
        <v>253.4</v>
      </c>
      <c r="G102" s="392">
        <v>44481</v>
      </c>
      <c r="H102" s="385">
        <v>74</v>
      </c>
      <c r="I102" s="385">
        <v>2020</v>
      </c>
      <c r="J102" s="385" t="s">
        <v>109</v>
      </c>
      <c r="K102" s="385">
        <v>21</v>
      </c>
      <c r="L102" s="386">
        <v>2318.9</v>
      </c>
      <c r="N102" s="125">
        <f t="shared" si="7"/>
        <v>252.25</v>
      </c>
      <c r="O102">
        <f t="shared" si="8"/>
        <v>2.5225</v>
      </c>
      <c r="P102">
        <f t="shared" si="9"/>
        <v>3.1531250000000002</v>
      </c>
      <c r="Q102">
        <f t="shared" si="10"/>
        <v>88.571281249999998</v>
      </c>
      <c r="R102">
        <f t="shared" si="11"/>
        <v>189.47128125000003</v>
      </c>
      <c r="S102" s="421">
        <f t="shared" si="12"/>
        <v>3.8195386282289014</v>
      </c>
      <c r="T102" s="421">
        <f t="shared" si="13"/>
        <v>8.1707396287032648</v>
      </c>
    </row>
    <row r="103" spans="1:20" s="233" customFormat="1">
      <c r="A103" s="233">
        <v>22545</v>
      </c>
      <c r="B103" s="233" t="s">
        <v>2235</v>
      </c>
      <c r="C103" s="233">
        <v>75</v>
      </c>
      <c r="D103" s="233" t="s">
        <v>2229</v>
      </c>
      <c r="E103" s="233">
        <v>1.4</v>
      </c>
      <c r="G103" s="393">
        <v>44481</v>
      </c>
      <c r="H103" s="394">
        <v>75</v>
      </c>
      <c r="I103" s="394"/>
      <c r="J103" s="394" t="s">
        <v>2235</v>
      </c>
      <c r="K103" s="394"/>
      <c r="L103" s="395"/>
      <c r="N103" s="125"/>
      <c r="O103"/>
      <c r="P103"/>
      <c r="Q103"/>
      <c r="R103"/>
      <c r="S103" s="421"/>
      <c r="T103" s="421"/>
    </row>
    <row r="104" spans="1:20" s="383" customFormat="1">
      <c r="A104" s="383">
        <v>22546</v>
      </c>
      <c r="B104" s="383" t="s">
        <v>2021</v>
      </c>
      <c r="C104" s="383">
        <v>76</v>
      </c>
      <c r="D104" s="383" t="s">
        <v>2229</v>
      </c>
      <c r="E104" s="383">
        <v>376.4</v>
      </c>
      <c r="G104" s="396">
        <v>44481</v>
      </c>
      <c r="H104" s="400">
        <v>76</v>
      </c>
      <c r="I104" s="400" t="s">
        <v>2239</v>
      </c>
      <c r="J104" s="401" t="s">
        <v>2021</v>
      </c>
      <c r="K104" s="400">
        <v>4</v>
      </c>
      <c r="L104" s="402">
        <v>3067.7</v>
      </c>
      <c r="N104" s="125">
        <f t="shared" si="7"/>
        <v>375.25</v>
      </c>
      <c r="O104">
        <f t="shared" si="8"/>
        <v>3.7524999999999995</v>
      </c>
      <c r="P104">
        <f t="shared" si="9"/>
        <v>4.6906249999999989</v>
      </c>
      <c r="Q104">
        <f t="shared" si="10"/>
        <v>131.75965624999998</v>
      </c>
      <c r="R104">
        <f t="shared" si="11"/>
        <v>281.85965624999994</v>
      </c>
      <c r="S104" s="421">
        <f t="shared" si="12"/>
        <v>4.2950632803077218</v>
      </c>
      <c r="T104" s="421">
        <f t="shared" si="13"/>
        <v>9.1879797975682092</v>
      </c>
    </row>
    <row r="105" spans="1:20" s="383" customFormat="1">
      <c r="A105" s="383">
        <v>22547</v>
      </c>
      <c r="B105" s="383" t="s">
        <v>2021</v>
      </c>
      <c r="C105" s="383">
        <v>77</v>
      </c>
      <c r="D105" s="383" t="s">
        <v>2229</v>
      </c>
      <c r="E105" s="383">
        <v>351.4</v>
      </c>
      <c r="G105" s="396">
        <v>44481</v>
      </c>
      <c r="H105" s="397">
        <v>77</v>
      </c>
      <c r="I105" s="397" t="s">
        <v>2239</v>
      </c>
      <c r="J105" s="398" t="s">
        <v>2021</v>
      </c>
      <c r="K105" s="397">
        <v>5</v>
      </c>
      <c r="L105" s="399">
        <v>2810.2</v>
      </c>
      <c r="N105" s="125">
        <f t="shared" si="7"/>
        <v>350.25</v>
      </c>
      <c r="O105">
        <f t="shared" si="8"/>
        <v>3.5024999999999999</v>
      </c>
      <c r="P105">
        <f t="shared" si="9"/>
        <v>4.3781249999999998</v>
      </c>
      <c r="Q105">
        <f t="shared" si="10"/>
        <v>122.98153124999999</v>
      </c>
      <c r="R105">
        <f t="shared" si="11"/>
        <v>263.08153125000001</v>
      </c>
      <c r="S105" s="421">
        <f t="shared" si="12"/>
        <v>4.3762554711408441</v>
      </c>
      <c r="T105" s="421">
        <f t="shared" si="13"/>
        <v>9.3616657622233301</v>
      </c>
    </row>
  </sheetData>
  <mergeCells count="19">
    <mergeCell ref="B12:D12"/>
    <mergeCell ref="F12:H12"/>
    <mergeCell ref="A3:H3"/>
    <mergeCell ref="B5:C5"/>
    <mergeCell ref="E5:H5"/>
    <mergeCell ref="B6:C6"/>
    <mergeCell ref="E6:H6"/>
    <mergeCell ref="B7:C7"/>
    <mergeCell ref="E7:H7"/>
    <mergeCell ref="B8:C8"/>
    <mergeCell ref="E8:H8"/>
    <mergeCell ref="B10:D10"/>
    <mergeCell ref="B11:D11"/>
    <mergeCell ref="F11:G11"/>
    <mergeCell ref="B13:D13"/>
    <mergeCell ref="B14:D14"/>
    <mergeCell ref="B15:D15"/>
    <mergeCell ref="B19:G23"/>
    <mergeCell ref="B25:G26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92C6E-2845-42F4-A21B-783DF72AB8B3}">
  <dimension ref="A1:W105"/>
  <sheetViews>
    <sheetView topLeftCell="H7" workbookViewId="0">
      <selection activeCell="N32" sqref="N32"/>
    </sheetView>
  </sheetViews>
  <sheetFormatPr defaultColWidth="8.7109375" defaultRowHeight="15"/>
  <cols>
    <col min="1" max="1" width="8.7109375" style="503"/>
    <col min="2" max="2" width="16.140625" style="503" bestFit="1" customWidth="1"/>
    <col min="3" max="3" width="10" style="503" bestFit="1" customWidth="1"/>
    <col min="4" max="4" width="16.7109375" style="503" bestFit="1" customWidth="1"/>
    <col min="5" max="5" width="21.42578125" style="503" customWidth="1"/>
    <col min="6" max="6" width="15.7109375" style="503" customWidth="1"/>
    <col min="7" max="7" width="26.7109375" style="503" customWidth="1"/>
    <col min="8" max="13" width="8.7109375" style="503"/>
    <col min="14" max="14" width="10.85546875" style="503" customWidth="1"/>
    <col min="15" max="15" width="15.7109375" style="503" customWidth="1"/>
    <col min="16" max="16" width="16.42578125" style="503" customWidth="1"/>
    <col min="17" max="20" width="8.7109375" style="503"/>
    <col min="21" max="21" width="10.140625" style="503" customWidth="1"/>
    <col min="22" max="16384" width="8.7109375" style="503"/>
  </cols>
  <sheetData>
    <row r="1" spans="1:8">
      <c r="A1" s="503" t="s">
        <v>2371</v>
      </c>
    </row>
    <row r="2" spans="1:8" ht="18">
      <c r="A2" s="600" t="s">
        <v>2372</v>
      </c>
      <c r="B2" s="571"/>
      <c r="C2" s="571"/>
      <c r="D2" s="571"/>
      <c r="E2" s="571"/>
      <c r="F2" s="571"/>
      <c r="G2" s="571"/>
      <c r="H2" s="571"/>
    </row>
    <row r="4" spans="1:8">
      <c r="A4" s="377" t="s">
        <v>2203</v>
      </c>
      <c r="B4" s="580">
        <v>44546</v>
      </c>
      <c r="C4" s="581"/>
      <c r="E4" s="582" t="s">
        <v>2205</v>
      </c>
      <c r="F4" s="583"/>
      <c r="G4" s="583"/>
      <c r="H4" s="581"/>
    </row>
    <row r="5" spans="1:8">
      <c r="A5" s="378" t="s">
        <v>2206</v>
      </c>
      <c r="B5" s="584">
        <v>44544</v>
      </c>
      <c r="C5" s="585"/>
      <c r="E5" s="586" t="s">
        <v>2207</v>
      </c>
      <c r="F5" s="571"/>
      <c r="G5" s="571"/>
      <c r="H5" s="585"/>
    </row>
    <row r="6" spans="1:8">
      <c r="A6" s="378" t="s">
        <v>2208</v>
      </c>
      <c r="B6" s="584">
        <v>44546</v>
      </c>
      <c r="C6" s="585"/>
      <c r="E6" s="586" t="s">
        <v>2209</v>
      </c>
      <c r="F6" s="571"/>
      <c r="G6" s="571"/>
      <c r="H6" s="585"/>
    </row>
    <row r="7" spans="1:8">
      <c r="A7" s="379" t="s">
        <v>2210</v>
      </c>
      <c r="B7" s="587">
        <v>44728</v>
      </c>
      <c r="C7" s="588"/>
      <c r="E7" s="589" t="s">
        <v>2212</v>
      </c>
      <c r="F7" s="590"/>
      <c r="G7" s="590"/>
      <c r="H7" s="588"/>
    </row>
    <row r="9" spans="1:8">
      <c r="A9" s="380" t="s">
        <v>2213</v>
      </c>
      <c r="B9" s="591" t="s">
        <v>2214</v>
      </c>
      <c r="C9" s="592"/>
      <c r="D9" s="593"/>
      <c r="F9" s="505" t="s">
        <v>2215</v>
      </c>
    </row>
    <row r="10" spans="1:8">
      <c r="B10" s="570" t="s">
        <v>2216</v>
      </c>
      <c r="C10" s="571"/>
      <c r="D10" s="572"/>
      <c r="F10" s="601" t="s">
        <v>2217</v>
      </c>
      <c r="G10" s="571"/>
      <c r="H10" s="503">
        <v>18</v>
      </c>
    </row>
    <row r="11" spans="1:8">
      <c r="B11" s="570"/>
      <c r="C11" s="571"/>
      <c r="D11" s="572"/>
      <c r="F11" s="599" t="s">
        <v>2218</v>
      </c>
      <c r="G11" s="571"/>
      <c r="H11" s="571"/>
    </row>
    <row r="12" spans="1:8">
      <c r="B12" s="570"/>
      <c r="C12" s="571"/>
      <c r="D12" s="572"/>
    </row>
    <row r="13" spans="1:8">
      <c r="B13" s="570" t="s">
        <v>2219</v>
      </c>
      <c r="C13" s="571"/>
      <c r="D13" s="572"/>
    </row>
    <row r="14" spans="1:8">
      <c r="B14" s="573" t="s">
        <v>2220</v>
      </c>
      <c r="C14" s="574"/>
      <c r="D14" s="575"/>
    </row>
    <row r="18" spans="1:23">
      <c r="A18" s="380" t="s">
        <v>2221</v>
      </c>
      <c r="B18" s="595" t="s">
        <v>2373</v>
      </c>
      <c r="C18" s="596"/>
      <c r="D18" s="596"/>
      <c r="E18" s="596"/>
      <c r="F18" s="596"/>
      <c r="G18" s="596"/>
    </row>
    <row r="19" spans="1:23">
      <c r="B19" s="596"/>
      <c r="C19" s="596"/>
      <c r="D19" s="596"/>
      <c r="E19" s="596"/>
      <c r="F19" s="596"/>
      <c r="G19" s="596"/>
    </row>
    <row r="20" spans="1:23">
      <c r="B20" s="596"/>
      <c r="C20" s="596"/>
      <c r="D20" s="596"/>
      <c r="E20" s="596"/>
      <c r="F20" s="596"/>
      <c r="G20" s="596"/>
    </row>
    <row r="21" spans="1:23">
      <c r="B21" s="596"/>
      <c r="C21" s="596"/>
      <c r="D21" s="596"/>
      <c r="E21" s="596"/>
      <c r="F21" s="596"/>
      <c r="G21" s="596"/>
    </row>
    <row r="22" spans="1:23">
      <c r="B22" s="596"/>
      <c r="C22" s="596"/>
      <c r="D22" s="596"/>
      <c r="E22" s="596"/>
      <c r="F22" s="596"/>
      <c r="G22" s="596"/>
    </row>
    <row r="24" spans="1:23">
      <c r="B24" s="597" t="s">
        <v>2374</v>
      </c>
      <c r="C24" s="598"/>
      <c r="D24" s="598"/>
      <c r="E24" s="598"/>
      <c r="F24" s="598"/>
      <c r="G24" s="598"/>
    </row>
    <row r="25" spans="1:23" ht="14.45" customHeight="1">
      <c r="B25" s="598"/>
      <c r="C25" s="598"/>
      <c r="D25" s="598"/>
      <c r="E25" s="598"/>
      <c r="F25" s="598"/>
      <c r="G25" s="598"/>
    </row>
    <row r="26" spans="1:23" ht="15.75">
      <c r="N26" s="504" t="s">
        <v>2247</v>
      </c>
      <c r="O26" s="504"/>
      <c r="P26" s="504"/>
      <c r="Q26" s="409" t="s">
        <v>2248</v>
      </c>
      <c r="R26" s="233"/>
      <c r="S26" s="233"/>
      <c r="T26" s="410">
        <f>AVERAGE(E39,E41,E43)</f>
        <v>0.93333333333333324</v>
      </c>
      <c r="U26" s="411" t="s">
        <v>2249</v>
      </c>
      <c r="V26" s="411" t="s">
        <v>2250</v>
      </c>
    </row>
    <row r="27" spans="1:23" ht="51.75">
      <c r="N27" s="504" t="s">
        <v>2251</v>
      </c>
      <c r="O27" s="504" t="s">
        <v>2252</v>
      </c>
      <c r="P27" s="408" t="s">
        <v>2253</v>
      </c>
      <c r="Q27" s="412"/>
      <c r="T27" s="227"/>
      <c r="U27" s="226"/>
      <c r="V27" s="226"/>
    </row>
    <row r="28" spans="1:23" ht="90">
      <c r="A28" s="506" t="s">
        <v>2224</v>
      </c>
      <c r="B28" s="506" t="s">
        <v>2225</v>
      </c>
      <c r="C28" s="506" t="s">
        <v>2226</v>
      </c>
      <c r="D28" s="506" t="s">
        <v>2227</v>
      </c>
      <c r="E28" s="504" t="s">
        <v>2375</v>
      </c>
      <c r="F28" s="504" t="s">
        <v>2376</v>
      </c>
      <c r="G28" s="503" t="s">
        <v>2237</v>
      </c>
      <c r="H28" s="503" t="s">
        <v>2238</v>
      </c>
      <c r="I28" s="503" t="s">
        <v>165</v>
      </c>
      <c r="J28" s="503" t="s">
        <v>164</v>
      </c>
      <c r="K28" s="503" t="s">
        <v>163</v>
      </c>
      <c r="L28" s="503" t="s">
        <v>2030</v>
      </c>
      <c r="M28" s="64"/>
      <c r="N28" s="408" t="s">
        <v>2241</v>
      </c>
      <c r="O28" s="504" t="s">
        <v>2242</v>
      </c>
      <c r="P28" s="504" t="s">
        <v>2242</v>
      </c>
      <c r="Q28" s="504" t="s">
        <v>2243</v>
      </c>
      <c r="R28" s="504" t="s">
        <v>2244</v>
      </c>
      <c r="S28" s="420" t="s">
        <v>2245</v>
      </c>
      <c r="T28" s="420" t="s">
        <v>2246</v>
      </c>
      <c r="U28" s="127" t="s">
        <v>2390</v>
      </c>
      <c r="V28" s="504"/>
      <c r="W28" s="127" t="s">
        <v>2391</v>
      </c>
    </row>
    <row r="29" spans="1:23" s="544" customFormat="1">
      <c r="A29" s="544">
        <v>23109</v>
      </c>
      <c r="B29" s="544" t="s">
        <v>2377</v>
      </c>
      <c r="C29" s="544">
        <v>1</v>
      </c>
      <c r="D29" s="544" t="s">
        <v>2229</v>
      </c>
      <c r="E29" s="544">
        <v>427</v>
      </c>
      <c r="G29" s="545">
        <v>44544</v>
      </c>
      <c r="H29" s="546">
        <v>1</v>
      </c>
      <c r="I29" s="546">
        <v>2020</v>
      </c>
      <c r="J29" s="546" t="s">
        <v>105</v>
      </c>
      <c r="K29" s="546" t="s">
        <v>2384</v>
      </c>
      <c r="L29" s="547">
        <v>2029.6</v>
      </c>
      <c r="N29" s="548">
        <f>E29-$T$26</f>
        <v>426.06666666666666</v>
      </c>
      <c r="O29" s="544">
        <f>(N29/1000)*10</f>
        <v>4.2606666666666664</v>
      </c>
      <c r="P29" s="544">
        <f>O29*(5/4)</f>
        <v>5.3258333333333328</v>
      </c>
      <c r="Q29" s="544">
        <f>P29*28.09</f>
        <v>149.60265833333332</v>
      </c>
      <c r="R29" s="544">
        <f>P29*(28.09+2*16)</f>
        <v>320.02932499999997</v>
      </c>
      <c r="S29" s="544">
        <f>(Q29/L29)*100</f>
        <v>7.3710415024306917</v>
      </c>
      <c r="T29" s="544">
        <f>(R29/L29)*100</f>
        <v>15.768098393772171</v>
      </c>
      <c r="U29" s="549">
        <f>(S29-S30)/AVERAGE(S29:S30)</f>
        <v>9.7121220730876923E-2</v>
      </c>
      <c r="W29" s="549">
        <f>(AVERAGE(S29:S30)-AVERAGE('BSi raw data and calculations'!S44:S45))/AVERAGE('BSi raw data and calculations'!S44:S45,'BSi raw data repeats'!S29:S30)</f>
        <v>-5.0100541011788569E-3</v>
      </c>
    </row>
    <row r="30" spans="1:23" s="544" customFormat="1">
      <c r="A30" s="544">
        <v>23110</v>
      </c>
      <c r="B30" s="544" t="s">
        <v>2378</v>
      </c>
      <c r="C30" s="544">
        <v>2</v>
      </c>
      <c r="D30" s="544" t="s">
        <v>2229</v>
      </c>
      <c r="E30" s="544">
        <v>592</v>
      </c>
      <c r="G30" s="545">
        <v>44544</v>
      </c>
      <c r="H30" s="546">
        <v>2</v>
      </c>
      <c r="I30" s="546">
        <v>2020</v>
      </c>
      <c r="J30" s="546" t="s">
        <v>105</v>
      </c>
      <c r="K30" s="546" t="s">
        <v>2385</v>
      </c>
      <c r="L30" s="547">
        <v>3103</v>
      </c>
      <c r="N30" s="548">
        <f t="shared" ref="N30:N46" si="0">E30-$T$26</f>
        <v>591.06666666666672</v>
      </c>
      <c r="O30" s="544">
        <f t="shared" ref="O30:O46" si="1">(N30/1000)*10</f>
        <v>5.9106666666666676</v>
      </c>
      <c r="P30" s="544">
        <f t="shared" ref="P30:P46" si="2">O30*(5/4)</f>
        <v>7.3883333333333345</v>
      </c>
      <c r="Q30" s="544">
        <f t="shared" ref="Q30:Q46" si="3">P30*28.09</f>
        <v>207.53828333333337</v>
      </c>
      <c r="R30" s="544">
        <f t="shared" ref="R30:R46" si="4">P30*(28.09+2*16)</f>
        <v>443.9649500000001</v>
      </c>
      <c r="S30" s="544">
        <f t="shared" ref="S30:S46" si="5">(Q30/L30)*100</f>
        <v>6.6883107745192838</v>
      </c>
      <c r="T30" s="544">
        <f t="shared" ref="T30:T46" si="6">(R30/L30)*100</f>
        <v>14.307603931679026</v>
      </c>
      <c r="U30" s="550"/>
      <c r="V30" s="549"/>
    </row>
    <row r="31" spans="1:23" s="54" customFormat="1">
      <c r="A31" s="54">
        <v>23111</v>
      </c>
      <c r="B31" s="54" t="s">
        <v>2379</v>
      </c>
      <c r="C31" s="54">
        <v>3</v>
      </c>
      <c r="D31" s="54" t="s">
        <v>2229</v>
      </c>
      <c r="E31" s="54">
        <v>310.5</v>
      </c>
      <c r="G31" s="553">
        <v>44544</v>
      </c>
      <c r="H31" s="554">
        <v>3</v>
      </c>
      <c r="I31" s="555">
        <v>2020</v>
      </c>
      <c r="J31" s="555" t="s">
        <v>105</v>
      </c>
      <c r="K31" s="555">
        <v>14</v>
      </c>
      <c r="L31" s="555">
        <v>3170.9</v>
      </c>
      <c r="N31" s="186">
        <f t="shared" si="0"/>
        <v>309.56666666666666</v>
      </c>
      <c r="O31" s="54">
        <f t="shared" si="1"/>
        <v>3.0956666666666663</v>
      </c>
      <c r="P31" s="54">
        <f t="shared" si="2"/>
        <v>3.8695833333333329</v>
      </c>
      <c r="Q31" s="54">
        <f t="shared" si="3"/>
        <v>108.69659583333332</v>
      </c>
      <c r="R31" s="54">
        <f t="shared" si="4"/>
        <v>232.52326249999999</v>
      </c>
      <c r="S31" s="54">
        <f t="shared" si="5"/>
        <v>3.4279414624659656</v>
      </c>
      <c r="T31" s="54">
        <f t="shared" si="6"/>
        <v>7.3330367561260195</v>
      </c>
      <c r="U31" s="557"/>
      <c r="W31" s="556">
        <f>(S31-'BSi raw data and calculations'!S46)/AVERAGE('BSi raw data and calculations'!S46,'BSi raw data repeats'!S31)</f>
        <v>-6.0479536094272097E-2</v>
      </c>
    </row>
    <row r="32" spans="1:23" s="51" customFormat="1">
      <c r="A32" s="51">
        <v>23112</v>
      </c>
      <c r="B32" s="518">
        <v>44166</v>
      </c>
      <c r="C32" s="51">
        <v>4</v>
      </c>
      <c r="D32" s="51" t="s">
        <v>2229</v>
      </c>
      <c r="E32" s="51">
        <v>385</v>
      </c>
      <c r="G32" s="507">
        <v>44544</v>
      </c>
      <c r="H32" s="508">
        <v>4</v>
      </c>
      <c r="I32" s="385">
        <v>2020</v>
      </c>
      <c r="J32" s="385" t="s">
        <v>105</v>
      </c>
      <c r="K32" s="386">
        <v>12</v>
      </c>
      <c r="L32" s="386">
        <v>3105.8</v>
      </c>
      <c r="N32" s="182">
        <f t="shared" si="0"/>
        <v>384.06666666666666</v>
      </c>
      <c r="O32" s="51">
        <f t="shared" si="1"/>
        <v>3.8406666666666665</v>
      </c>
      <c r="P32" s="51">
        <f t="shared" si="2"/>
        <v>4.8008333333333333</v>
      </c>
      <c r="Q32" s="51">
        <f t="shared" si="3"/>
        <v>134.85540833333334</v>
      </c>
      <c r="R32" s="51">
        <f t="shared" si="4"/>
        <v>288.48207500000001</v>
      </c>
      <c r="S32" s="51">
        <f t="shared" si="5"/>
        <v>4.3420506257110354</v>
      </c>
      <c r="T32" s="51">
        <f t="shared" si="6"/>
        <v>9.2884949127438983</v>
      </c>
      <c r="U32" s="511"/>
      <c r="W32" s="510">
        <f>(S32-'BSi raw data and calculations'!S43)/AVERAGE('BSi raw data and calculations'!S43,'BSi raw data repeats'!S32)</f>
        <v>-4.5566525736844929E-2</v>
      </c>
    </row>
    <row r="33" spans="1:23" s="537" customFormat="1">
      <c r="A33" s="537">
        <v>23113</v>
      </c>
      <c r="B33" s="537" t="s">
        <v>2380</v>
      </c>
      <c r="C33" s="537">
        <v>5</v>
      </c>
      <c r="D33" s="537" t="s">
        <v>2229</v>
      </c>
      <c r="E33" s="537">
        <v>743.5</v>
      </c>
      <c r="G33" s="538">
        <v>44544</v>
      </c>
      <c r="H33" s="539">
        <v>5</v>
      </c>
      <c r="I33" s="540">
        <v>2020</v>
      </c>
      <c r="J33" s="540" t="s">
        <v>108</v>
      </c>
      <c r="K33" s="540" t="s">
        <v>2386</v>
      </c>
      <c r="L33" s="541">
        <v>2499.6</v>
      </c>
      <c r="N33" s="542">
        <f t="shared" si="0"/>
        <v>742.56666666666672</v>
      </c>
      <c r="O33" s="537">
        <f t="shared" si="1"/>
        <v>7.4256666666666673</v>
      </c>
      <c r="P33" s="537">
        <f t="shared" si="2"/>
        <v>9.2820833333333344</v>
      </c>
      <c r="Q33" s="537">
        <f t="shared" si="3"/>
        <v>260.73372083333334</v>
      </c>
      <c r="R33" s="537">
        <f t="shared" si="4"/>
        <v>557.76038750000009</v>
      </c>
      <c r="S33" s="537">
        <f t="shared" si="5"/>
        <v>10.431017796180722</v>
      </c>
      <c r="T33" s="537">
        <f t="shared" si="6"/>
        <v>22.313985737718038</v>
      </c>
      <c r="U33" s="543">
        <f>(S33-S34)/AVERAGE(S33:S34)</f>
        <v>-1.2275086427059642E-2</v>
      </c>
      <c r="W33" s="543">
        <f>(AVERAGE(S33:S34)-AVERAGE('BSi raw data and calculations'!S63:S64))/AVERAGE('BSi raw data and calculations'!S63:S64,'BSi raw data repeats'!S33:S34)</f>
        <v>-3.0552017576330123E-2</v>
      </c>
    </row>
    <row r="34" spans="1:23" s="537" customFormat="1">
      <c r="A34" s="537">
        <v>23114</v>
      </c>
      <c r="B34" s="537" t="s">
        <v>2381</v>
      </c>
      <c r="C34" s="537">
        <v>6</v>
      </c>
      <c r="D34" s="537" t="s">
        <v>2229</v>
      </c>
      <c r="E34" s="537">
        <v>723.8</v>
      </c>
      <c r="G34" s="538">
        <v>44544</v>
      </c>
      <c r="H34" s="540">
        <v>6</v>
      </c>
      <c r="I34" s="540">
        <v>2020</v>
      </c>
      <c r="J34" s="540" t="s">
        <v>108</v>
      </c>
      <c r="K34" s="540" t="s">
        <v>2387</v>
      </c>
      <c r="L34" s="541">
        <v>2403.6</v>
      </c>
      <c r="N34" s="542">
        <f>E34-$T$26</f>
        <v>722.86666666666667</v>
      </c>
      <c r="O34" s="537">
        <f t="shared" si="1"/>
        <v>7.2286666666666664</v>
      </c>
      <c r="P34" s="537">
        <f t="shared" si="2"/>
        <v>9.0358333333333327</v>
      </c>
      <c r="Q34" s="537">
        <f t="shared" si="3"/>
        <v>253.81655833333332</v>
      </c>
      <c r="R34" s="537">
        <f t="shared" si="4"/>
        <v>542.96322499999997</v>
      </c>
      <c r="S34" s="537">
        <f t="shared" si="5"/>
        <v>10.559850155322572</v>
      </c>
      <c r="T34" s="537">
        <f t="shared" si="6"/>
        <v>22.589583333333334</v>
      </c>
      <c r="U34" s="551"/>
      <c r="V34" s="543"/>
    </row>
    <row r="35" spans="1:23" s="54" customFormat="1">
      <c r="A35" s="54">
        <v>23115</v>
      </c>
      <c r="B35" s="552">
        <v>43952</v>
      </c>
      <c r="C35" s="54">
        <v>7</v>
      </c>
      <c r="D35" s="54" t="s">
        <v>2229</v>
      </c>
      <c r="E35" s="54">
        <v>319.8</v>
      </c>
      <c r="F35" s="54">
        <v>319.8</v>
      </c>
      <c r="G35" s="553">
        <v>44544</v>
      </c>
      <c r="H35" s="554">
        <v>7</v>
      </c>
      <c r="I35" s="555">
        <v>2020</v>
      </c>
      <c r="J35" s="555" t="s">
        <v>108</v>
      </c>
      <c r="K35" s="555">
        <v>5</v>
      </c>
      <c r="L35" s="555">
        <v>2724.1</v>
      </c>
      <c r="N35" s="186">
        <f t="shared" si="0"/>
        <v>318.86666666666667</v>
      </c>
      <c r="O35" s="54">
        <f t="shared" si="1"/>
        <v>3.1886666666666668</v>
      </c>
      <c r="P35" s="54">
        <f t="shared" si="2"/>
        <v>3.9858333333333333</v>
      </c>
      <c r="Q35" s="54">
        <f t="shared" si="3"/>
        <v>111.96205833333333</v>
      </c>
      <c r="R35" s="54">
        <f t="shared" si="4"/>
        <v>239.50872500000003</v>
      </c>
      <c r="S35" s="54">
        <f t="shared" si="5"/>
        <v>4.1100568383441631</v>
      </c>
      <c r="T35" s="54">
        <f t="shared" si="6"/>
        <v>8.7922148599537486</v>
      </c>
      <c r="W35" s="556">
        <f>(S35-'BSi raw data and calculations'!S57)/AVERAGE('BSi raw data and calculations'!S57,'BSi raw data repeats'!S35)</f>
        <v>6.3436541728600415E-2</v>
      </c>
    </row>
    <row r="36" spans="1:23" s="51" customFormat="1">
      <c r="A36" s="51">
        <v>23116</v>
      </c>
      <c r="B36" s="518">
        <v>44075</v>
      </c>
      <c r="C36" s="51">
        <v>8</v>
      </c>
      <c r="D36" s="51" t="s">
        <v>2229</v>
      </c>
      <c r="E36" s="51">
        <v>334.3</v>
      </c>
      <c r="G36" s="507">
        <v>44544</v>
      </c>
      <c r="H36" s="508">
        <v>8</v>
      </c>
      <c r="I36" s="385">
        <v>2020</v>
      </c>
      <c r="J36" s="385" t="s">
        <v>108</v>
      </c>
      <c r="K36" s="386">
        <v>9</v>
      </c>
      <c r="L36" s="386">
        <v>2969.9</v>
      </c>
      <c r="N36" s="182">
        <f t="shared" si="0"/>
        <v>333.36666666666667</v>
      </c>
      <c r="O36" s="51">
        <f t="shared" si="1"/>
        <v>3.3336666666666668</v>
      </c>
      <c r="P36" s="51">
        <f t="shared" si="2"/>
        <v>4.1670833333333333</v>
      </c>
      <c r="Q36" s="51">
        <f t="shared" si="3"/>
        <v>117.05337083333333</v>
      </c>
      <c r="R36" s="51">
        <f t="shared" si="4"/>
        <v>250.4000375</v>
      </c>
      <c r="S36" s="51">
        <f t="shared" si="5"/>
        <v>3.9413236416489887</v>
      </c>
      <c r="T36" s="51">
        <f t="shared" si="6"/>
        <v>8.431261574463786</v>
      </c>
      <c r="W36" s="510">
        <f>(S36-'BSi raw data and calculations'!S61)/AVERAGE('BSi raw data and calculations'!S61,'BSi raw data repeats'!S36)</f>
        <v>-1.1841188618152821E-2</v>
      </c>
    </row>
    <row r="37" spans="1:23" s="51" customFormat="1">
      <c r="A37" s="51">
        <v>23117</v>
      </c>
      <c r="B37" s="518">
        <v>43891</v>
      </c>
      <c r="C37" s="51">
        <v>9</v>
      </c>
      <c r="D37" s="51" t="s">
        <v>2229</v>
      </c>
      <c r="E37" s="51">
        <v>321.8</v>
      </c>
      <c r="G37" s="507">
        <v>44544</v>
      </c>
      <c r="H37" s="508">
        <v>9</v>
      </c>
      <c r="I37" s="385">
        <v>2020</v>
      </c>
      <c r="J37" s="385" t="s">
        <v>109</v>
      </c>
      <c r="K37" s="386">
        <v>3</v>
      </c>
      <c r="L37" s="386">
        <v>2225.9</v>
      </c>
      <c r="N37" s="182">
        <f t="shared" si="0"/>
        <v>320.86666666666667</v>
      </c>
      <c r="O37" s="51">
        <f t="shared" si="1"/>
        <v>3.2086666666666668</v>
      </c>
      <c r="P37" s="51">
        <f t="shared" si="2"/>
        <v>4.0108333333333333</v>
      </c>
      <c r="Q37" s="51">
        <f t="shared" si="3"/>
        <v>112.66430833333332</v>
      </c>
      <c r="R37" s="51">
        <f t="shared" si="4"/>
        <v>241.010975</v>
      </c>
      <c r="S37" s="51">
        <f t="shared" si="5"/>
        <v>5.0615170642586511</v>
      </c>
      <c r="T37" s="51">
        <f t="shared" si="6"/>
        <v>10.827574239633405</v>
      </c>
      <c r="W37" s="510">
        <f>(S37-'BSi raw data and calculations'!S80)/AVERAGE('BSi raw data and calculations'!S80,'BSi raw data repeats'!S37)</f>
        <v>1.1435725422303552E-2</v>
      </c>
    </row>
    <row r="38" spans="1:23" s="51" customFormat="1">
      <c r="A38" s="51">
        <v>23118</v>
      </c>
      <c r="B38" s="518">
        <v>43922</v>
      </c>
      <c r="C38" s="51">
        <v>10</v>
      </c>
      <c r="D38" s="51" t="s">
        <v>2229</v>
      </c>
      <c r="E38" s="51">
        <v>283</v>
      </c>
      <c r="G38" s="507">
        <v>44544</v>
      </c>
      <c r="H38" s="508">
        <v>10</v>
      </c>
      <c r="I38" s="385">
        <v>2020</v>
      </c>
      <c r="J38" s="385" t="s">
        <v>109</v>
      </c>
      <c r="K38" s="386">
        <v>4</v>
      </c>
      <c r="L38" s="386">
        <v>2528.5</v>
      </c>
      <c r="N38" s="182">
        <f t="shared" si="0"/>
        <v>282.06666666666666</v>
      </c>
      <c r="O38" s="51">
        <f t="shared" si="1"/>
        <v>2.8206666666666669</v>
      </c>
      <c r="P38" s="51">
        <f t="shared" si="2"/>
        <v>3.5258333333333338</v>
      </c>
      <c r="Q38" s="51">
        <f t="shared" si="3"/>
        <v>99.04065833333334</v>
      </c>
      <c r="R38" s="51">
        <f t="shared" si="4"/>
        <v>211.86732500000005</v>
      </c>
      <c r="S38" s="51">
        <f t="shared" si="5"/>
        <v>3.9169728429239998</v>
      </c>
      <c r="T38" s="51">
        <f t="shared" si="6"/>
        <v>8.3791704567925667</v>
      </c>
      <c r="W38" s="510">
        <f>(S38-'BSi raw data and calculations'!S81)/AVERAGE('BSi raw data and calculations'!S81,'BSi raw data repeats'!S38)</f>
        <v>-8.3930467605860589E-3</v>
      </c>
    </row>
    <row r="39" spans="1:23" s="51" customFormat="1">
      <c r="A39" s="51">
        <v>23119</v>
      </c>
      <c r="B39" s="51" t="s">
        <v>2073</v>
      </c>
      <c r="C39" s="51">
        <v>11</v>
      </c>
      <c r="D39" s="51" t="s">
        <v>2229</v>
      </c>
      <c r="E39" s="51">
        <v>0.9</v>
      </c>
      <c r="G39" s="507">
        <v>44544</v>
      </c>
      <c r="H39" s="508">
        <v>11</v>
      </c>
      <c r="I39" s="389"/>
      <c r="J39" s="389" t="s">
        <v>2073</v>
      </c>
      <c r="K39" s="390"/>
      <c r="L39" s="390"/>
      <c r="N39" s="182"/>
    </row>
    <row r="40" spans="1:23" s="519" customFormat="1" ht="15.75" thickBot="1">
      <c r="A40" s="519">
        <v>23120</v>
      </c>
      <c r="B40" s="519" t="s">
        <v>2239</v>
      </c>
      <c r="C40" s="519">
        <v>12</v>
      </c>
      <c r="D40" s="519" t="s">
        <v>2229</v>
      </c>
      <c r="E40" s="519">
        <v>348</v>
      </c>
      <c r="G40" s="520">
        <v>44544</v>
      </c>
      <c r="H40" s="521">
        <v>12</v>
      </c>
      <c r="I40" s="521" t="s">
        <v>2239</v>
      </c>
      <c r="J40" s="522" t="s">
        <v>2021</v>
      </c>
      <c r="K40" s="523">
        <v>1</v>
      </c>
      <c r="L40" s="523">
        <v>2965.9</v>
      </c>
      <c r="N40" s="524">
        <f t="shared" si="0"/>
        <v>347.06666666666666</v>
      </c>
      <c r="O40" s="519">
        <f t="shared" si="1"/>
        <v>3.4706666666666668</v>
      </c>
      <c r="P40" s="519">
        <f t="shared" si="2"/>
        <v>4.3383333333333338</v>
      </c>
      <c r="Q40" s="519">
        <f t="shared" si="3"/>
        <v>121.86378333333334</v>
      </c>
      <c r="R40" s="519">
        <f t="shared" si="4"/>
        <v>260.69045000000006</v>
      </c>
      <c r="S40" s="519">
        <f t="shared" si="5"/>
        <v>4.108829809950886</v>
      </c>
      <c r="T40" s="519">
        <f t="shared" si="6"/>
        <v>8.7895900064061525</v>
      </c>
    </row>
    <row r="41" spans="1:23" s="51" customFormat="1" ht="15.75" thickTop="1">
      <c r="A41" s="51">
        <v>23121</v>
      </c>
      <c r="B41" s="51" t="s">
        <v>2074</v>
      </c>
      <c r="C41" s="51">
        <v>13</v>
      </c>
      <c r="D41" s="51" t="s">
        <v>2229</v>
      </c>
      <c r="E41" s="51">
        <v>1</v>
      </c>
      <c r="G41" s="507">
        <v>44544</v>
      </c>
      <c r="H41" s="509">
        <v>13</v>
      </c>
      <c r="I41" s="389"/>
      <c r="J41" s="389" t="s">
        <v>2074</v>
      </c>
      <c r="K41" s="390"/>
      <c r="L41" s="390"/>
      <c r="N41" s="182">
        <f t="shared" si="0"/>
        <v>6.6666666666666763E-2</v>
      </c>
      <c r="O41" s="51">
        <f t="shared" si="1"/>
        <v>6.6666666666666762E-4</v>
      </c>
      <c r="P41" s="51">
        <f t="shared" si="2"/>
        <v>8.3333333333333458E-4</v>
      </c>
      <c r="Q41" s="51">
        <f t="shared" si="3"/>
        <v>2.3408333333333368E-2</v>
      </c>
      <c r="R41" s="51">
        <f t="shared" si="4"/>
        <v>5.0075000000000078E-2</v>
      </c>
      <c r="S41" s="51" t="e">
        <f t="shared" si="5"/>
        <v>#DIV/0!</v>
      </c>
      <c r="T41" s="51" t="e">
        <f t="shared" si="6"/>
        <v>#DIV/0!</v>
      </c>
    </row>
    <row r="42" spans="1:23" s="519" customFormat="1">
      <c r="A42" s="519">
        <v>23122</v>
      </c>
      <c r="B42" s="519" t="s">
        <v>2239</v>
      </c>
      <c r="C42" s="519">
        <v>14</v>
      </c>
      <c r="D42" s="519" t="s">
        <v>2229</v>
      </c>
      <c r="E42" s="519">
        <v>366.9</v>
      </c>
      <c r="F42" s="519">
        <v>364.3</v>
      </c>
      <c r="G42" s="520">
        <v>44544</v>
      </c>
      <c r="H42" s="525">
        <v>14</v>
      </c>
      <c r="I42" s="525" t="s">
        <v>2239</v>
      </c>
      <c r="J42" s="526" t="s">
        <v>2021</v>
      </c>
      <c r="K42" s="527">
        <v>2</v>
      </c>
      <c r="L42" s="527">
        <v>3118.5</v>
      </c>
      <c r="N42" s="524">
        <f t="shared" si="0"/>
        <v>365.96666666666664</v>
      </c>
      <c r="O42" s="519">
        <f t="shared" si="1"/>
        <v>3.6596666666666664</v>
      </c>
      <c r="P42" s="519">
        <f t="shared" si="2"/>
        <v>4.574583333333333</v>
      </c>
      <c r="Q42" s="519">
        <f t="shared" si="3"/>
        <v>128.50004583333333</v>
      </c>
      <c r="R42" s="519">
        <f t="shared" si="4"/>
        <v>274.88671249999999</v>
      </c>
      <c r="S42" s="519">
        <f t="shared" si="5"/>
        <v>4.1205722569611458</v>
      </c>
      <c r="T42" s="519">
        <f t="shared" si="6"/>
        <v>8.814709395542728</v>
      </c>
    </row>
    <row r="43" spans="1:23" s="51" customFormat="1">
      <c r="A43" s="51">
        <v>23123</v>
      </c>
      <c r="B43" s="51" t="s">
        <v>2075</v>
      </c>
      <c r="C43" s="51">
        <v>15</v>
      </c>
      <c r="D43" s="51" t="s">
        <v>2229</v>
      </c>
      <c r="E43" s="51">
        <v>0.9</v>
      </c>
      <c r="G43" s="507">
        <v>44544</v>
      </c>
      <c r="H43" s="508">
        <v>15</v>
      </c>
      <c r="I43" s="385"/>
      <c r="J43" s="385" t="s">
        <v>2075</v>
      </c>
      <c r="K43" s="386"/>
      <c r="L43" s="386"/>
      <c r="N43" s="182">
        <f t="shared" si="0"/>
        <v>-3.3333333333333215E-2</v>
      </c>
      <c r="O43" s="51">
        <f t="shared" si="1"/>
        <v>-3.3333333333333213E-4</v>
      </c>
      <c r="P43" s="51">
        <f t="shared" si="2"/>
        <v>-4.1666666666666518E-4</v>
      </c>
      <c r="Q43" s="51">
        <f t="shared" si="3"/>
        <v>-1.1704166666666625E-2</v>
      </c>
      <c r="R43" s="51">
        <f t="shared" si="4"/>
        <v>-2.5037499999999911E-2</v>
      </c>
      <c r="S43" s="51" t="e">
        <f t="shared" si="5"/>
        <v>#DIV/0!</v>
      </c>
      <c r="T43" s="51" t="e">
        <f t="shared" si="6"/>
        <v>#DIV/0!</v>
      </c>
    </row>
    <row r="44" spans="1:23" s="519" customFormat="1">
      <c r="A44" s="519">
        <v>23124</v>
      </c>
      <c r="B44" s="519" t="s">
        <v>2239</v>
      </c>
      <c r="C44" s="519">
        <v>16</v>
      </c>
      <c r="D44" s="519" t="s">
        <v>2229</v>
      </c>
      <c r="E44" s="519">
        <v>335</v>
      </c>
      <c r="G44" s="520">
        <v>44544</v>
      </c>
      <c r="H44" s="525">
        <v>16</v>
      </c>
      <c r="I44" s="525" t="s">
        <v>2239</v>
      </c>
      <c r="J44" s="526" t="s">
        <v>2021</v>
      </c>
      <c r="K44" s="527">
        <v>3</v>
      </c>
      <c r="L44" s="527">
        <v>2643.4</v>
      </c>
      <c r="N44" s="524">
        <f t="shared" si="0"/>
        <v>334.06666666666666</v>
      </c>
      <c r="O44" s="519">
        <f t="shared" si="1"/>
        <v>3.3406666666666669</v>
      </c>
      <c r="P44" s="519">
        <f t="shared" si="2"/>
        <v>4.1758333333333333</v>
      </c>
      <c r="Q44" s="519">
        <f t="shared" si="3"/>
        <v>117.29915833333334</v>
      </c>
      <c r="R44" s="519">
        <f t="shared" si="4"/>
        <v>250.925825</v>
      </c>
      <c r="S44" s="519">
        <f t="shared" si="5"/>
        <v>4.4374350583844047</v>
      </c>
      <c r="T44" s="519">
        <f t="shared" si="6"/>
        <v>9.4925408564727238</v>
      </c>
    </row>
    <row r="45" spans="1:23" s="528" customFormat="1">
      <c r="A45" s="528">
        <v>23125</v>
      </c>
      <c r="B45" s="528" t="s">
        <v>2382</v>
      </c>
      <c r="C45" s="528">
        <v>17</v>
      </c>
      <c r="D45" s="528" t="s">
        <v>2229</v>
      </c>
      <c r="E45" s="528">
        <v>609.70000000000005</v>
      </c>
      <c r="G45" s="529">
        <v>44544</v>
      </c>
      <c r="H45" s="530">
        <v>17</v>
      </c>
      <c r="I45" s="530">
        <v>2020</v>
      </c>
      <c r="J45" s="530" t="s">
        <v>109</v>
      </c>
      <c r="K45" s="531" t="s">
        <v>2388</v>
      </c>
      <c r="L45" s="531">
        <v>2497.6999999999998</v>
      </c>
      <c r="N45" s="532">
        <f t="shared" si="0"/>
        <v>608.76666666666677</v>
      </c>
      <c r="O45" s="528">
        <f t="shared" si="1"/>
        <v>6.0876666666666681</v>
      </c>
      <c r="P45" s="528">
        <f t="shared" si="2"/>
        <v>7.6095833333333349</v>
      </c>
      <c r="Q45" s="528">
        <f t="shared" si="3"/>
        <v>213.75319583333336</v>
      </c>
      <c r="R45" s="528">
        <f t="shared" si="4"/>
        <v>457.25986250000011</v>
      </c>
      <c r="S45" s="528">
        <f t="shared" si="5"/>
        <v>8.5580011944322134</v>
      </c>
      <c r="T45" s="528">
        <f t="shared" si="6"/>
        <v>18.307237158185536</v>
      </c>
      <c r="U45" s="533">
        <f>(S45-S46)/AVERAGE(S45:S46)</f>
        <v>3.9640774208976274E-3</v>
      </c>
      <c r="W45" s="533">
        <f>(AVERAGE(S45:S46)-AVERAGE('BSi raw data and calculations'!S91:S92))/AVERAGE('BSi raw data and calculations'!S91:S92,'BSi raw data repeats'!S45:S46)</f>
        <v>9.8001569035952585E-3</v>
      </c>
    </row>
    <row r="46" spans="1:23" s="528" customFormat="1" ht="15.75" thickBot="1">
      <c r="A46" s="528">
        <v>23126</v>
      </c>
      <c r="B46" s="528" t="s">
        <v>2383</v>
      </c>
      <c r="C46" s="528">
        <v>18</v>
      </c>
      <c r="D46" s="528" t="s">
        <v>2229</v>
      </c>
      <c r="E46" s="528">
        <v>561.70000000000005</v>
      </c>
      <c r="G46" s="529">
        <v>44544</v>
      </c>
      <c r="H46" s="534">
        <v>18</v>
      </c>
      <c r="I46" s="535">
        <v>2020</v>
      </c>
      <c r="J46" s="535" t="s">
        <v>109</v>
      </c>
      <c r="K46" s="536" t="s">
        <v>2389</v>
      </c>
      <c r="L46" s="536">
        <v>2309.9</v>
      </c>
      <c r="N46" s="532">
        <f t="shared" si="0"/>
        <v>560.76666666666677</v>
      </c>
      <c r="O46" s="528">
        <f t="shared" si="1"/>
        <v>5.6076666666666677</v>
      </c>
      <c r="P46" s="528">
        <f t="shared" si="2"/>
        <v>7.0095833333333344</v>
      </c>
      <c r="Q46" s="528">
        <f t="shared" si="3"/>
        <v>196.89919583333335</v>
      </c>
      <c r="R46" s="528">
        <f t="shared" si="4"/>
        <v>421.20586250000008</v>
      </c>
      <c r="S46" s="528">
        <f t="shared" si="5"/>
        <v>8.5241437219504466</v>
      </c>
      <c r="T46" s="528">
        <f t="shared" si="6"/>
        <v>18.234809407333653</v>
      </c>
      <c r="V46" s="533"/>
    </row>
    <row r="47" spans="1:23" s="238" customFormat="1" ht="15.75" thickTop="1">
      <c r="G47" s="512"/>
      <c r="H47" s="513"/>
      <c r="I47" s="513"/>
      <c r="J47" s="513"/>
      <c r="K47" s="513"/>
      <c r="N47" s="514"/>
    </row>
    <row r="48" spans="1:23" s="238" customFormat="1">
      <c r="G48" s="512"/>
      <c r="H48" s="513"/>
      <c r="I48" s="513"/>
      <c r="J48" s="513"/>
      <c r="K48" s="513"/>
      <c r="N48" s="514"/>
    </row>
    <row r="49" spans="7:22" s="238" customFormat="1">
      <c r="G49" s="512"/>
      <c r="H49" s="513"/>
      <c r="I49" s="513"/>
      <c r="J49" s="513"/>
      <c r="K49" s="513"/>
      <c r="N49" s="514"/>
    </row>
    <row r="50" spans="7:22" s="238" customFormat="1">
      <c r="G50" s="512"/>
      <c r="H50" s="513"/>
      <c r="I50" s="513"/>
      <c r="J50" s="513"/>
      <c r="K50" s="513"/>
      <c r="N50" s="514"/>
    </row>
    <row r="51" spans="7:22" s="238" customFormat="1">
      <c r="G51" s="512"/>
      <c r="H51" s="513"/>
      <c r="I51" s="513"/>
      <c r="J51" s="513"/>
      <c r="K51" s="513"/>
      <c r="N51" s="514"/>
    </row>
    <row r="52" spans="7:22" s="238" customFormat="1">
      <c r="G52" s="512"/>
      <c r="H52" s="513"/>
      <c r="I52" s="513"/>
      <c r="J52" s="513"/>
      <c r="K52" s="513"/>
      <c r="N52" s="514"/>
    </row>
    <row r="53" spans="7:22" s="238" customFormat="1">
      <c r="G53" s="512"/>
      <c r="H53" s="513"/>
      <c r="I53" s="513"/>
      <c r="J53" s="513"/>
      <c r="K53" s="513"/>
      <c r="N53" s="514"/>
    </row>
    <row r="54" spans="7:22" s="238" customFormat="1">
      <c r="G54" s="512"/>
      <c r="H54" s="513"/>
      <c r="I54" s="513"/>
      <c r="J54" s="513"/>
      <c r="K54" s="513"/>
      <c r="N54" s="514"/>
    </row>
    <row r="55" spans="7:22" s="238" customFormat="1">
      <c r="G55" s="512"/>
      <c r="H55" s="513"/>
      <c r="I55" s="513"/>
      <c r="J55" s="513"/>
      <c r="K55" s="513"/>
      <c r="N55" s="514"/>
    </row>
    <row r="56" spans="7:22" s="238" customFormat="1">
      <c r="G56" s="512"/>
      <c r="H56" s="513"/>
      <c r="I56" s="513"/>
      <c r="J56" s="513"/>
      <c r="K56" s="513"/>
      <c r="N56" s="514"/>
    </row>
    <row r="57" spans="7:22" s="238" customFormat="1">
      <c r="G57" s="512"/>
      <c r="H57" s="513"/>
      <c r="I57" s="513"/>
      <c r="J57" s="513"/>
      <c r="K57" s="513"/>
      <c r="N57" s="514"/>
    </row>
    <row r="58" spans="7:22" s="238" customFormat="1">
      <c r="G58" s="512"/>
      <c r="H58" s="513"/>
      <c r="I58" s="513"/>
      <c r="J58" s="513"/>
      <c r="K58" s="513"/>
      <c r="N58" s="514"/>
    </row>
    <row r="59" spans="7:22" s="238" customFormat="1">
      <c r="G59" s="512"/>
      <c r="H59" s="513"/>
      <c r="I59" s="513"/>
      <c r="J59" s="513"/>
      <c r="K59" s="513"/>
      <c r="N59" s="514"/>
    </row>
    <row r="60" spans="7:22" s="238" customFormat="1">
      <c r="G60" s="512"/>
      <c r="H60" s="513"/>
      <c r="I60" s="513"/>
      <c r="J60" s="513"/>
      <c r="K60" s="513"/>
      <c r="N60" s="514"/>
    </row>
    <row r="61" spans="7:22" s="238" customFormat="1">
      <c r="G61" s="512"/>
      <c r="H61" s="513"/>
      <c r="I61" s="513"/>
      <c r="J61" s="513"/>
      <c r="K61" s="513"/>
      <c r="N61" s="514"/>
    </row>
    <row r="62" spans="7:22" s="238" customFormat="1">
      <c r="G62" s="512"/>
      <c r="H62" s="513"/>
      <c r="I62" s="513"/>
      <c r="J62" s="513"/>
      <c r="K62" s="513"/>
      <c r="N62" s="514"/>
    </row>
    <row r="63" spans="7:22" s="238" customFormat="1">
      <c r="G63" s="512"/>
      <c r="H63" s="513"/>
      <c r="I63" s="513"/>
      <c r="J63" s="513"/>
      <c r="K63" s="513"/>
      <c r="N63" s="514"/>
    </row>
    <row r="64" spans="7:22" s="238" customFormat="1">
      <c r="G64" s="512"/>
      <c r="H64" s="513"/>
      <c r="I64" s="513"/>
      <c r="J64" s="513"/>
      <c r="K64" s="513"/>
      <c r="N64" s="514"/>
      <c r="V64" s="515"/>
    </row>
    <row r="65" spans="7:22" s="238" customFormat="1">
      <c r="G65" s="512"/>
      <c r="H65" s="513"/>
      <c r="I65" s="513"/>
      <c r="J65" s="513"/>
      <c r="K65" s="513"/>
      <c r="N65" s="514"/>
    </row>
    <row r="66" spans="7:22" s="238" customFormat="1">
      <c r="G66" s="512"/>
      <c r="H66" s="513"/>
      <c r="I66" s="513"/>
      <c r="J66" s="513"/>
      <c r="K66" s="513"/>
      <c r="N66" s="514"/>
      <c r="V66" s="515"/>
    </row>
    <row r="67" spans="7:22" s="238" customFormat="1">
      <c r="G67" s="512"/>
      <c r="H67" s="513"/>
      <c r="I67" s="513"/>
      <c r="J67" s="513"/>
      <c r="K67" s="513"/>
      <c r="N67" s="514"/>
    </row>
    <row r="68" spans="7:22" s="238" customFormat="1">
      <c r="G68" s="512"/>
      <c r="H68" s="513"/>
      <c r="I68" s="513"/>
      <c r="J68" s="513"/>
      <c r="K68" s="513"/>
      <c r="N68" s="514"/>
    </row>
    <row r="69" spans="7:22" s="238" customFormat="1">
      <c r="G69" s="512"/>
      <c r="H69" s="513"/>
      <c r="I69" s="513"/>
      <c r="J69" s="513"/>
      <c r="K69" s="513"/>
      <c r="N69" s="514"/>
    </row>
    <row r="70" spans="7:22" s="238" customFormat="1">
      <c r="G70" s="512"/>
      <c r="H70" s="513"/>
      <c r="I70" s="513"/>
      <c r="J70" s="513"/>
      <c r="K70" s="513"/>
      <c r="N70" s="514"/>
    </row>
    <row r="71" spans="7:22" s="238" customFormat="1">
      <c r="G71" s="512"/>
      <c r="H71" s="513"/>
      <c r="I71" s="513"/>
      <c r="J71" s="513"/>
      <c r="K71" s="513"/>
      <c r="N71" s="514"/>
    </row>
    <row r="72" spans="7:22" s="238" customFormat="1">
      <c r="G72" s="512"/>
      <c r="H72" s="513"/>
      <c r="I72" s="513"/>
      <c r="J72" s="513"/>
      <c r="K72" s="513"/>
      <c r="N72" s="514"/>
    </row>
    <row r="73" spans="7:22" s="238" customFormat="1">
      <c r="G73" s="512"/>
      <c r="H73" s="513"/>
      <c r="I73" s="513"/>
      <c r="J73" s="513"/>
      <c r="K73" s="513"/>
      <c r="N73" s="514"/>
    </row>
    <row r="74" spans="7:22" s="238" customFormat="1">
      <c r="G74" s="512"/>
      <c r="H74" s="513"/>
      <c r="I74" s="513"/>
      <c r="J74" s="513"/>
      <c r="K74" s="513"/>
      <c r="N74" s="514"/>
    </row>
    <row r="75" spans="7:22" s="238" customFormat="1">
      <c r="G75" s="512"/>
      <c r="H75" s="513"/>
      <c r="I75" s="513"/>
      <c r="J75" s="516"/>
      <c r="K75" s="513"/>
      <c r="N75" s="514"/>
    </row>
    <row r="76" spans="7:22" s="238" customFormat="1">
      <c r="G76" s="512"/>
      <c r="H76" s="513"/>
      <c r="I76" s="513"/>
      <c r="J76" s="513"/>
      <c r="K76" s="513"/>
      <c r="N76" s="514"/>
    </row>
    <row r="77" spans="7:22" s="238" customFormat="1">
      <c r="G77" s="512"/>
      <c r="H77" s="513"/>
      <c r="I77" s="513"/>
      <c r="J77" s="513"/>
      <c r="K77" s="513"/>
      <c r="N77" s="514"/>
    </row>
    <row r="78" spans="7:22" s="238" customFormat="1">
      <c r="G78" s="512"/>
      <c r="H78" s="513"/>
      <c r="I78" s="513"/>
      <c r="J78" s="513"/>
      <c r="K78" s="513"/>
      <c r="N78" s="514"/>
    </row>
    <row r="79" spans="7:22" s="238" customFormat="1">
      <c r="G79" s="512"/>
      <c r="H79" s="513"/>
      <c r="I79" s="513"/>
      <c r="J79" s="513"/>
      <c r="K79" s="513"/>
      <c r="N79" s="514"/>
    </row>
    <row r="80" spans="7:22" s="238" customFormat="1">
      <c r="G80" s="512"/>
      <c r="H80" s="513"/>
      <c r="I80" s="513"/>
      <c r="J80" s="513"/>
      <c r="K80" s="513"/>
      <c r="N80" s="514"/>
    </row>
    <row r="81" spans="7:22" s="238" customFormat="1">
      <c r="G81" s="512"/>
      <c r="H81" s="513"/>
      <c r="I81" s="513"/>
      <c r="J81" s="513"/>
      <c r="K81" s="513"/>
      <c r="N81" s="514"/>
    </row>
    <row r="82" spans="7:22" s="238" customFormat="1">
      <c r="G82" s="512"/>
      <c r="H82" s="513"/>
      <c r="I82" s="513"/>
      <c r="J82" s="513"/>
      <c r="K82" s="513"/>
      <c r="N82" s="514"/>
    </row>
    <row r="83" spans="7:22" s="238" customFormat="1">
      <c r="G83" s="512"/>
      <c r="H83" s="513"/>
      <c r="I83" s="513"/>
      <c r="J83" s="513"/>
      <c r="K83" s="513"/>
      <c r="N83" s="514"/>
    </row>
    <row r="84" spans="7:22" s="238" customFormat="1">
      <c r="G84" s="512"/>
      <c r="H84" s="513"/>
      <c r="I84" s="513"/>
      <c r="J84" s="513"/>
      <c r="K84" s="513"/>
      <c r="N84" s="514"/>
    </row>
    <row r="85" spans="7:22" s="238" customFormat="1">
      <c r="G85" s="512"/>
      <c r="H85" s="513"/>
      <c r="I85" s="513"/>
      <c r="J85" s="513"/>
      <c r="K85" s="513"/>
      <c r="N85" s="514"/>
    </row>
    <row r="86" spans="7:22" s="238" customFormat="1">
      <c r="G86" s="512"/>
      <c r="H86" s="513"/>
      <c r="I86" s="513"/>
      <c r="J86" s="513"/>
      <c r="K86" s="513"/>
      <c r="N86" s="514"/>
    </row>
    <row r="87" spans="7:22" s="238" customFormat="1">
      <c r="G87" s="512"/>
      <c r="H87" s="513"/>
      <c r="I87" s="513"/>
      <c r="J87" s="516"/>
      <c r="K87" s="513"/>
      <c r="N87" s="514"/>
    </row>
    <row r="88" spans="7:22" s="238" customFormat="1">
      <c r="G88" s="512"/>
      <c r="H88" s="513"/>
      <c r="I88" s="513"/>
      <c r="J88" s="513"/>
      <c r="K88" s="513"/>
      <c r="N88" s="514"/>
    </row>
    <row r="89" spans="7:22" s="238" customFormat="1">
      <c r="G89" s="512"/>
      <c r="H89" s="513"/>
      <c r="I89" s="513"/>
      <c r="J89" s="513"/>
      <c r="K89" s="513"/>
      <c r="N89" s="514"/>
    </row>
    <row r="90" spans="7:22" s="238" customFormat="1">
      <c r="G90" s="512"/>
      <c r="H90" s="513"/>
      <c r="I90" s="513"/>
      <c r="J90" s="513"/>
      <c r="K90" s="513"/>
      <c r="N90" s="514"/>
    </row>
    <row r="91" spans="7:22" s="238" customFormat="1">
      <c r="G91" s="512"/>
      <c r="H91" s="513"/>
      <c r="I91" s="513"/>
      <c r="J91" s="513"/>
      <c r="K91" s="513"/>
      <c r="N91" s="514"/>
    </row>
    <row r="92" spans="7:22" s="238" customFormat="1">
      <c r="G92" s="512"/>
      <c r="H92" s="513"/>
      <c r="I92" s="513"/>
      <c r="J92" s="513"/>
      <c r="K92" s="513"/>
      <c r="N92" s="514"/>
      <c r="V92" s="517"/>
    </row>
    <row r="93" spans="7:22" s="238" customFormat="1">
      <c r="G93" s="512"/>
      <c r="H93" s="513"/>
      <c r="I93" s="513"/>
      <c r="J93" s="513"/>
      <c r="K93" s="513"/>
      <c r="N93" s="514"/>
    </row>
    <row r="94" spans="7:22" s="238" customFormat="1">
      <c r="G94" s="512"/>
      <c r="H94" s="513"/>
      <c r="I94" s="513"/>
      <c r="J94" s="513"/>
      <c r="K94" s="513"/>
      <c r="N94" s="514"/>
    </row>
    <row r="95" spans="7:22" s="238" customFormat="1">
      <c r="G95" s="512"/>
      <c r="H95" s="513"/>
      <c r="I95" s="513"/>
      <c r="J95" s="513"/>
      <c r="K95" s="513"/>
      <c r="N95" s="514"/>
      <c r="V95" s="517"/>
    </row>
    <row r="96" spans="7:22" s="238" customFormat="1">
      <c r="G96" s="512"/>
      <c r="H96" s="513"/>
      <c r="I96" s="513"/>
      <c r="J96" s="513"/>
      <c r="K96" s="513"/>
      <c r="N96" s="514"/>
    </row>
    <row r="97" spans="7:14" s="238" customFormat="1">
      <c r="G97" s="512"/>
      <c r="H97" s="513"/>
      <c r="I97" s="513"/>
      <c r="J97" s="513"/>
      <c r="K97" s="513"/>
      <c r="N97" s="514"/>
    </row>
    <row r="98" spans="7:14" s="238" customFormat="1">
      <c r="G98" s="512"/>
      <c r="H98" s="513"/>
      <c r="I98" s="513"/>
      <c r="J98" s="513"/>
      <c r="K98" s="513"/>
      <c r="N98" s="514"/>
    </row>
    <row r="99" spans="7:14" s="238" customFormat="1">
      <c r="G99" s="512"/>
      <c r="H99" s="513"/>
      <c r="I99" s="513"/>
      <c r="J99" s="513"/>
      <c r="K99" s="513"/>
      <c r="N99" s="514"/>
    </row>
    <row r="100" spans="7:14" s="238" customFormat="1">
      <c r="G100" s="512"/>
      <c r="H100" s="513"/>
      <c r="I100" s="513"/>
      <c r="J100" s="513"/>
      <c r="K100" s="513"/>
      <c r="N100" s="514"/>
    </row>
    <row r="101" spans="7:14" s="238" customFormat="1">
      <c r="G101" s="512"/>
      <c r="H101" s="513"/>
      <c r="I101" s="513"/>
      <c r="J101" s="513"/>
      <c r="K101" s="513"/>
      <c r="N101" s="514"/>
    </row>
    <row r="102" spans="7:14" s="238" customFormat="1">
      <c r="G102" s="512"/>
      <c r="H102" s="513"/>
      <c r="I102" s="513"/>
      <c r="J102" s="513"/>
      <c r="K102" s="513"/>
      <c r="N102" s="514"/>
    </row>
    <row r="103" spans="7:14" s="238" customFormat="1">
      <c r="G103" s="512"/>
      <c r="H103" s="513"/>
      <c r="I103" s="513"/>
      <c r="J103" s="513"/>
      <c r="K103" s="513"/>
      <c r="N103" s="514"/>
    </row>
    <row r="104" spans="7:14" s="238" customFormat="1">
      <c r="G104" s="512"/>
      <c r="H104" s="513"/>
      <c r="I104" s="513"/>
      <c r="J104" s="516"/>
      <c r="K104" s="513"/>
      <c r="N104" s="514"/>
    </row>
    <row r="105" spans="7:14" s="238" customFormat="1">
      <c r="G105" s="512"/>
      <c r="H105" s="513"/>
      <c r="I105" s="513"/>
      <c r="J105" s="516"/>
      <c r="K105" s="513"/>
      <c r="N105" s="514"/>
    </row>
  </sheetData>
  <mergeCells count="19">
    <mergeCell ref="A2:H2"/>
    <mergeCell ref="B4:C4"/>
    <mergeCell ref="E4:H4"/>
    <mergeCell ref="B9:D9"/>
    <mergeCell ref="F10:G10"/>
    <mergeCell ref="B10:D10"/>
    <mergeCell ref="B5:C5"/>
    <mergeCell ref="E5:H5"/>
    <mergeCell ref="B6:C6"/>
    <mergeCell ref="E6:H6"/>
    <mergeCell ref="B7:C7"/>
    <mergeCell ref="E7:H7"/>
    <mergeCell ref="B18:G22"/>
    <mergeCell ref="B24:G25"/>
    <mergeCell ref="B13:D13"/>
    <mergeCell ref="B14:D14"/>
    <mergeCell ref="B11:D11"/>
    <mergeCell ref="B12:D12"/>
    <mergeCell ref="F11:H1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F9000-1068-4299-8593-FC65C46B3835}">
  <dimension ref="A1:AR96"/>
  <sheetViews>
    <sheetView workbookViewId="0">
      <selection activeCell="X7" sqref="X7"/>
    </sheetView>
  </sheetViews>
  <sheetFormatPr defaultRowHeight="15"/>
  <cols>
    <col min="5" max="5" width="20.42578125" style="127" customWidth="1"/>
    <col min="9" max="9" width="13.85546875" customWidth="1"/>
    <col min="20" max="21" width="10.7109375" bestFit="1" customWidth="1"/>
    <col min="22" max="22" width="10.140625" bestFit="1" customWidth="1"/>
    <col min="23" max="23" width="11.5703125" bestFit="1" customWidth="1"/>
    <col min="24" max="24" width="12.28515625" bestFit="1" customWidth="1"/>
    <col min="35" max="35" width="24.140625" customWidth="1"/>
  </cols>
  <sheetData>
    <row r="1" spans="1:44" s="1" customFormat="1" ht="27" customHeight="1">
      <c r="A1" s="1" t="s">
        <v>165</v>
      </c>
      <c r="B1" s="1" t="s">
        <v>164</v>
      </c>
      <c r="C1" s="1" t="s">
        <v>163</v>
      </c>
      <c r="D1" s="119" t="s">
        <v>162</v>
      </c>
      <c r="E1" s="118" t="s">
        <v>161</v>
      </c>
      <c r="F1" s="140" t="s">
        <v>1748</v>
      </c>
      <c r="G1" s="141" t="s">
        <v>1749</v>
      </c>
      <c r="H1" s="1" t="s">
        <v>1750</v>
      </c>
      <c r="I1" s="140" t="s">
        <v>1751</v>
      </c>
      <c r="J1" s="142" t="s">
        <v>1751</v>
      </c>
      <c r="K1" s="142" t="s">
        <v>1752</v>
      </c>
      <c r="L1" s="142" t="s">
        <v>1753</v>
      </c>
      <c r="M1" s="143" t="s">
        <v>1754</v>
      </c>
      <c r="N1" s="143" t="s">
        <v>1755</v>
      </c>
      <c r="O1" s="143" t="s">
        <v>1756</v>
      </c>
      <c r="P1" s="143" t="s">
        <v>1757</v>
      </c>
      <c r="Q1" s="142" t="s">
        <v>1758</v>
      </c>
      <c r="R1" s="142" t="s">
        <v>1720</v>
      </c>
      <c r="S1" s="142" t="s">
        <v>1724</v>
      </c>
      <c r="T1" s="144" t="s">
        <v>1750</v>
      </c>
      <c r="U1" s="144" t="s">
        <v>1750</v>
      </c>
      <c r="V1" s="145" t="s">
        <v>1759</v>
      </c>
      <c r="W1" s="1" t="s">
        <v>1750</v>
      </c>
      <c r="X1" s="1" t="s">
        <v>1750</v>
      </c>
      <c r="Y1" s="118" t="s">
        <v>162</v>
      </c>
      <c r="Z1" s="1" t="s">
        <v>1760</v>
      </c>
      <c r="AB1" s="146" t="s">
        <v>1761</v>
      </c>
      <c r="AC1" s="146" t="s">
        <v>1761</v>
      </c>
      <c r="AD1" s="125" t="s">
        <v>1762</v>
      </c>
      <c r="AE1" s="125" t="s">
        <v>1763</v>
      </c>
      <c r="AF1" t="s">
        <v>1764</v>
      </c>
      <c r="AG1" s="125" t="s">
        <v>1765</v>
      </c>
      <c r="AH1" s="147" t="s">
        <v>1766</v>
      </c>
      <c r="AI1" s="148" t="s">
        <v>1767</v>
      </c>
      <c r="AJ1" s="149" t="s">
        <v>1768</v>
      </c>
      <c r="AK1" s="142" t="s">
        <v>1769</v>
      </c>
      <c r="AM1" s="49"/>
      <c r="AN1" s="150"/>
    </row>
    <row r="2" spans="1:44" ht="29.25" customHeight="1">
      <c r="A2" s="126" t="s">
        <v>1803</v>
      </c>
      <c r="D2" s="123" t="s">
        <v>157</v>
      </c>
      <c r="E2" s="371" t="s">
        <v>156</v>
      </c>
      <c r="F2" s="151"/>
      <c r="G2" s="152" t="s">
        <v>1770</v>
      </c>
      <c r="H2" t="s">
        <v>1771</v>
      </c>
      <c r="I2" s="153" t="s">
        <v>1772</v>
      </c>
      <c r="J2" s="154"/>
      <c r="K2" s="154"/>
      <c r="L2" s="155" t="s">
        <v>1773</v>
      </c>
      <c r="M2" s="156" t="s">
        <v>1774</v>
      </c>
      <c r="N2" s="156"/>
      <c r="O2" s="156" t="s">
        <v>1775</v>
      </c>
      <c r="P2" s="156"/>
      <c r="Q2" s="154" t="s">
        <v>1776</v>
      </c>
      <c r="R2" s="155"/>
      <c r="S2" s="155"/>
      <c r="T2" s="157" t="s">
        <v>1777</v>
      </c>
      <c r="U2" s="157" t="s">
        <v>1777</v>
      </c>
      <c r="V2" s="158" t="s">
        <v>1777</v>
      </c>
      <c r="W2" t="s">
        <v>1771</v>
      </c>
      <c r="X2" t="s">
        <v>1771</v>
      </c>
      <c r="Y2" s="125" t="s">
        <v>1778</v>
      </c>
      <c r="AB2" s="146" t="s">
        <v>1779</v>
      </c>
      <c r="AC2" s="146" t="s">
        <v>1780</v>
      </c>
      <c r="AD2" s="125" t="s">
        <v>1781</v>
      </c>
      <c r="AE2" s="125" t="s">
        <v>1781</v>
      </c>
      <c r="AF2" t="s">
        <v>1761</v>
      </c>
      <c r="AG2" s="125" t="s">
        <v>1761</v>
      </c>
      <c r="AH2" s="147" t="s">
        <v>1761</v>
      </c>
      <c r="AI2" s="159" t="s">
        <v>1782</v>
      </c>
      <c r="AJ2" s="31"/>
      <c r="AK2" s="142" t="s">
        <v>1783</v>
      </c>
      <c r="AM2" s="160"/>
      <c r="AN2" s="161"/>
    </row>
    <row r="3" spans="1:44" ht="18.95" customHeight="1">
      <c r="A3" s="124"/>
      <c r="D3" s="123"/>
      <c r="E3" s="372" t="s">
        <v>155</v>
      </c>
      <c r="F3" s="153"/>
      <c r="G3" s="152"/>
      <c r="H3" t="s">
        <v>156</v>
      </c>
      <c r="I3" s="153" t="s">
        <v>155</v>
      </c>
      <c r="J3" s="162" t="s">
        <v>155</v>
      </c>
      <c r="K3" s="162"/>
      <c r="L3" s="163"/>
      <c r="M3" s="156" t="s">
        <v>1784</v>
      </c>
      <c r="N3" s="156"/>
      <c r="O3" s="156" t="s">
        <v>1784</v>
      </c>
      <c r="P3" s="156"/>
      <c r="Q3" s="155"/>
      <c r="R3" s="154" t="s">
        <v>1785</v>
      </c>
      <c r="S3" s="155"/>
      <c r="T3" s="157" t="s">
        <v>1786</v>
      </c>
      <c r="U3" s="157" t="s">
        <v>1787</v>
      </c>
      <c r="V3" s="158" t="s">
        <v>1788</v>
      </c>
      <c r="W3" t="s">
        <v>1789</v>
      </c>
      <c r="X3" t="s">
        <v>1789</v>
      </c>
      <c r="Y3" s="122" t="s">
        <v>1790</v>
      </c>
      <c r="AB3" s="146" t="s">
        <v>1784</v>
      </c>
      <c r="AC3" s="146" t="s">
        <v>1784</v>
      </c>
      <c r="AD3" s="164" t="s">
        <v>1784</v>
      </c>
      <c r="AE3" s="164" t="s">
        <v>1784</v>
      </c>
      <c r="AF3" s="164" t="s">
        <v>1784</v>
      </c>
      <c r="AG3" s="164" t="s">
        <v>1784</v>
      </c>
      <c r="AH3" s="165" t="s">
        <v>1784</v>
      </c>
      <c r="AI3" s="159" t="s">
        <v>1791</v>
      </c>
      <c r="AJ3" s="31"/>
      <c r="AM3" s="160"/>
      <c r="AN3" s="150"/>
    </row>
    <row r="4" spans="1:44" s="1" customFormat="1" ht="18" customHeight="1">
      <c r="A4" s="121" t="s">
        <v>1804</v>
      </c>
      <c r="B4" s="120"/>
      <c r="D4" s="119" t="s">
        <v>154</v>
      </c>
      <c r="E4" s="118" t="s">
        <v>153</v>
      </c>
      <c r="F4" s="140" t="s">
        <v>1792</v>
      </c>
      <c r="G4" s="141"/>
      <c r="H4" s="1" t="s">
        <v>1793</v>
      </c>
      <c r="I4" s="140" t="s">
        <v>1794</v>
      </c>
      <c r="J4" s="142" t="s">
        <v>1795</v>
      </c>
      <c r="K4" s="142"/>
      <c r="L4" s="166"/>
      <c r="M4" s="167" t="s">
        <v>1796</v>
      </c>
      <c r="N4" s="143"/>
      <c r="O4" s="167" t="s">
        <v>1796</v>
      </c>
      <c r="P4" s="167"/>
      <c r="Q4" s="142"/>
      <c r="R4" s="142" t="s">
        <v>85</v>
      </c>
      <c r="T4" s="144"/>
      <c r="U4" s="144"/>
      <c r="V4" s="145"/>
      <c r="W4" s="1" t="s">
        <v>1793</v>
      </c>
      <c r="X4" s="1" t="s">
        <v>1793</v>
      </c>
      <c r="Y4" s="118" t="s">
        <v>1797</v>
      </c>
      <c r="AB4" s="146" t="s">
        <v>1796</v>
      </c>
      <c r="AC4" s="146" t="s">
        <v>1796</v>
      </c>
      <c r="AD4" s="125" t="s">
        <v>1798</v>
      </c>
      <c r="AE4" s="125" t="s">
        <v>1798</v>
      </c>
      <c r="AF4" s="146" t="s">
        <v>1796</v>
      </c>
      <c r="AG4" s="146" t="s">
        <v>1796</v>
      </c>
      <c r="AH4" s="165" t="s">
        <v>1796</v>
      </c>
      <c r="AI4" s="148" t="s">
        <v>1799</v>
      </c>
      <c r="AJ4" s="31"/>
      <c r="AM4" s="160"/>
      <c r="AN4" s="150"/>
    </row>
    <row r="5" spans="1:44" ht="12.95" customHeight="1">
      <c r="A5" s="180"/>
      <c r="B5" s="181"/>
      <c r="C5" s="181"/>
      <c r="D5" s="168"/>
      <c r="E5" s="371"/>
      <c r="F5" s="169"/>
      <c r="G5" s="152"/>
      <c r="H5" s="170"/>
      <c r="I5" s="169"/>
      <c r="J5" s="171"/>
      <c r="K5" s="171"/>
      <c r="L5" s="171"/>
      <c r="M5" s="172"/>
      <c r="N5" s="172"/>
      <c r="O5" s="172"/>
      <c r="P5" s="172"/>
      <c r="Q5" s="155"/>
      <c r="R5" s="173"/>
      <c r="S5" s="171"/>
      <c r="T5" s="174"/>
      <c r="U5" s="174"/>
      <c r="V5" s="175"/>
      <c r="W5" t="s">
        <v>1800</v>
      </c>
      <c r="X5" t="s">
        <v>1801</v>
      </c>
      <c r="Y5" s="176"/>
      <c r="Z5" s="170"/>
      <c r="AA5" s="170"/>
      <c r="AB5" s="146"/>
      <c r="AC5" s="146"/>
      <c r="AD5" s="125"/>
      <c r="AE5" s="125"/>
      <c r="AG5" s="125"/>
      <c r="AH5" s="177"/>
      <c r="AI5" s="178"/>
      <c r="AJ5" s="31"/>
      <c r="AM5" s="179"/>
      <c r="AN5" s="150"/>
    </row>
    <row r="6" spans="1:44" s="98" customFormat="1">
      <c r="A6" s="103" t="s">
        <v>166</v>
      </c>
      <c r="B6" s="117" t="s">
        <v>1716</v>
      </c>
      <c r="C6" s="116"/>
      <c r="E6" s="373"/>
      <c r="F6" s="114"/>
      <c r="G6" s="103"/>
      <c r="H6" s="113"/>
      <c r="I6" s="102" t="s">
        <v>152</v>
      </c>
      <c r="J6" s="99"/>
      <c r="K6" s="99"/>
      <c r="L6" s="99"/>
      <c r="M6" s="112"/>
      <c r="N6" s="112"/>
      <c r="O6" s="112"/>
      <c r="P6" s="112"/>
      <c r="Q6" s="111"/>
      <c r="R6" s="99"/>
      <c r="S6" s="99"/>
      <c r="T6" s="110"/>
      <c r="U6" s="110"/>
      <c r="V6" s="109"/>
      <c r="W6" s="108">
        <v>0</v>
      </c>
      <c r="X6" s="107"/>
      <c r="Y6" s="106"/>
      <c r="Z6" s="99"/>
      <c r="AA6" s="99"/>
      <c r="AB6" s="105"/>
      <c r="AC6" s="105"/>
      <c r="AD6" s="104"/>
      <c r="AE6" s="104"/>
      <c r="AG6" s="104"/>
      <c r="AH6" s="103"/>
      <c r="AI6" s="98" t="s">
        <v>1802</v>
      </c>
      <c r="AJ6" s="102"/>
      <c r="AL6" s="99"/>
      <c r="AM6" s="101"/>
      <c r="AN6" s="100"/>
      <c r="AO6" s="99"/>
      <c r="AP6" s="99"/>
      <c r="AQ6" s="99"/>
      <c r="AR6" s="99"/>
    </row>
    <row r="7" spans="1:44" s="51" customFormat="1">
      <c r="A7" s="51">
        <v>2020</v>
      </c>
      <c r="B7" s="51" t="s">
        <v>105</v>
      </c>
      <c r="C7" s="51" t="s">
        <v>1717</v>
      </c>
      <c r="D7" s="51">
        <f>'sample processing comments'!D6</f>
        <v>2</v>
      </c>
      <c r="E7" s="243">
        <f>'mass filt'!V6</f>
        <v>228.17142857142858</v>
      </c>
      <c r="F7" s="51">
        <v>0.5</v>
      </c>
      <c r="G7" s="51" t="str">
        <f>'sample processing comments'!H6</f>
        <v>IN2019_V02, carboy 1, ~10L + 10g Borate, 46˚ 51.53, 141˚ 38.61, UTC 03:50 20/03/2019</v>
      </c>
      <c r="H7" s="183">
        <f>U7-T7</f>
        <v>10</v>
      </c>
      <c r="I7" s="182">
        <f>E7/F7/H7</f>
        <v>45.634285714285717</v>
      </c>
      <c r="J7" s="182">
        <f>0.001*365.25*E7/F7/H7</f>
        <v>16.667922857142859</v>
      </c>
      <c r="L7" s="89">
        <v>1</v>
      </c>
      <c r="M7" s="182">
        <f>'CHN raw data'!C31</f>
        <v>16.027847290039063</v>
      </c>
      <c r="N7" s="182">
        <f>'CHN raw data'!D31</f>
        <v>1.1727060079574585</v>
      </c>
      <c r="O7" s="182">
        <f>'CHN raw data'!E31</f>
        <v>1.3819912672042847</v>
      </c>
      <c r="R7" s="182">
        <f>pH_Sal!D3</f>
        <v>39.840000000000003</v>
      </c>
      <c r="S7" s="182">
        <f>pH_Sal!K3</f>
        <v>8.42</v>
      </c>
      <c r="T7" s="184">
        <f>'Traps and Logs'!F141</f>
        <v>44082</v>
      </c>
      <c r="U7" s="184">
        <f>'Traps and Logs'!F142</f>
        <v>44092</v>
      </c>
      <c r="V7" s="185">
        <f>AVERAGE(T7:U7)</f>
        <v>44087</v>
      </c>
      <c r="W7" s="183">
        <f>H7+W6</f>
        <v>10</v>
      </c>
      <c r="X7" s="51">
        <v>0</v>
      </c>
      <c r="AB7" s="51">
        <f>'BSi raw data and calculations'!S29</f>
        <v>4.9218101598604171</v>
      </c>
      <c r="AC7" s="51">
        <f>'BSi raw data and calculations'!T29</f>
        <v>10.528713866358579</v>
      </c>
      <c r="AF7" s="182">
        <f>'PIC data'!AF8</f>
        <v>61.270451603008603</v>
      </c>
      <c r="AG7" s="182">
        <f>AF7*12.01/100.0869</f>
        <v>7.3521921825147283</v>
      </c>
      <c r="AH7" s="182">
        <f>M7-AG7</f>
        <v>8.6756551075243351</v>
      </c>
      <c r="AI7" s="182">
        <f>AF7+(AC7*1.11)+(AH7*2.2)+3.7</f>
        <v>95.743765231220166</v>
      </c>
      <c r="AJ7" s="182"/>
      <c r="AK7" s="182">
        <f>(AH7/12.01)/(O7/14.01)</f>
        <v>7.3230518287649033</v>
      </c>
    </row>
    <row r="8" spans="1:44">
      <c r="A8" s="51">
        <v>2020</v>
      </c>
      <c r="B8" s="51" t="s">
        <v>105</v>
      </c>
      <c r="C8">
        <v>2</v>
      </c>
      <c r="D8" s="51">
        <f>'sample processing comments'!D7</f>
        <v>3</v>
      </c>
      <c r="E8" s="243">
        <f>'mass filt'!V7</f>
        <v>441.54285714285714</v>
      </c>
      <c r="F8" s="51">
        <v>0.5</v>
      </c>
      <c r="G8" s="51" t="str">
        <f>'sample processing comments'!H7</f>
        <v>IN2019_V02, carboy 1, ~10L + 10g Borate, 46˚ 51.53, 141˚ 38.61, UTC 03:50 20/03/2019</v>
      </c>
      <c r="H8" s="183">
        <f t="shared" ref="H8:H27" si="0">U8-T8</f>
        <v>10</v>
      </c>
      <c r="I8" s="182">
        <f t="shared" ref="I8:I27" si="1">E8/F8/H8</f>
        <v>88.308571428571426</v>
      </c>
      <c r="J8" s="182">
        <f t="shared" ref="J8:J27" si="2">0.001*365.25*E8/F8/H8</f>
        <v>32.25470571428572</v>
      </c>
      <c r="L8" s="89">
        <v>1</v>
      </c>
      <c r="M8" s="182">
        <f>'CHN raw data'!C32</f>
        <v>14.433666229248047</v>
      </c>
      <c r="N8" s="182">
        <f>'CHN raw data'!D32</f>
        <v>0.9039425253868103</v>
      </c>
      <c r="O8" s="182">
        <f>'CHN raw data'!E32</f>
        <v>1.0813783407211304</v>
      </c>
      <c r="R8" s="182">
        <f>pH_Sal!D4</f>
        <v>40.11</v>
      </c>
      <c r="S8" s="182">
        <f>pH_Sal!K4</f>
        <v>8.48</v>
      </c>
      <c r="T8" s="184">
        <f>'Traps and Logs'!F142</f>
        <v>44092</v>
      </c>
      <c r="U8" s="184">
        <f>'Traps and Logs'!F143</f>
        <v>44102</v>
      </c>
      <c r="V8" s="185">
        <f t="shared" ref="V8:V27" si="3">AVERAGE(T8:U8)</f>
        <v>44097</v>
      </c>
      <c r="W8" s="183">
        <f t="shared" ref="W8:W27" si="4">H8+W7</f>
        <v>20</v>
      </c>
      <c r="X8" s="183">
        <f>X7+H8</f>
        <v>10</v>
      </c>
      <c r="AB8" s="51">
        <f>'BSi raw data and calculations'!S30</f>
        <v>5.7586530090995698</v>
      </c>
      <c r="AC8" s="51">
        <f>'BSi raw data and calculations'!T30</f>
        <v>12.318884276140734</v>
      </c>
      <c r="AF8" s="182">
        <f>'PIC data'!AF9</f>
        <v>63.30277781717718</v>
      </c>
      <c r="AG8" s="182">
        <f t="shared" ref="AG8:AG27" si="5">AF8*12.01/100.0869</f>
        <v>7.5960626374110687</v>
      </c>
      <c r="AH8" s="182">
        <f t="shared" ref="AH8:AH27" si="6">M8-AG8</f>
        <v>6.8376035918369782</v>
      </c>
      <c r="AI8" s="182">
        <f t="shared" ref="AI8:AI27" si="7">AF8+(AC8*1.11)+(AH8*2.2)+3.7</f>
        <v>95.71946726573475</v>
      </c>
      <c r="AJ8" s="125"/>
      <c r="AK8" s="182">
        <f t="shared" ref="AK8:AK27" si="8">(AH8/12.01)/(O8/14.01)</f>
        <v>7.3760080202107998</v>
      </c>
    </row>
    <row r="9" spans="1:44">
      <c r="A9" s="51">
        <v>2020</v>
      </c>
      <c r="B9" s="51" t="s">
        <v>105</v>
      </c>
      <c r="C9">
        <v>3</v>
      </c>
      <c r="D9" s="51">
        <f>'sample processing comments'!D8</f>
        <v>3</v>
      </c>
      <c r="E9" s="243">
        <f>'mass filt'!V8</f>
        <v>351.51428571428568</v>
      </c>
      <c r="F9" s="51">
        <v>0.5</v>
      </c>
      <c r="G9" s="51" t="str">
        <f>'sample processing comments'!H8</f>
        <v>IN2019_V02, carboy 1, ~10L + 10g Borate, 46˚ 51.53, 141˚ 38.61, UTC 03:50 20/03/2019</v>
      </c>
      <c r="H9" s="183">
        <f t="shared" si="0"/>
        <v>10</v>
      </c>
      <c r="I9" s="182">
        <f t="shared" si="1"/>
        <v>70.302857142857135</v>
      </c>
      <c r="J9" s="182">
        <f t="shared" si="2"/>
        <v>25.67811857142857</v>
      </c>
      <c r="L9" s="89">
        <v>1</v>
      </c>
      <c r="M9" s="182">
        <f>'CHN raw data'!C33</f>
        <v>14.707548141479492</v>
      </c>
      <c r="N9" s="182">
        <f>'CHN raw data'!D33</f>
        <v>0.95133036375045776</v>
      </c>
      <c r="O9" s="182">
        <f>'CHN raw data'!E33</f>
        <v>1.0262516736984253</v>
      </c>
      <c r="Q9" s="220" t="s">
        <v>1833</v>
      </c>
      <c r="R9" s="221">
        <f>AVERAGE(pH_Sal!G5,pH_Sal!D5)</f>
        <v>40.39</v>
      </c>
      <c r="S9" s="221">
        <f>AVERAGE(pH_Sal!K5,pH_Sal!N5)</f>
        <v>8.4550000000000001</v>
      </c>
      <c r="T9" s="184">
        <f>'Traps and Logs'!F143</f>
        <v>44102</v>
      </c>
      <c r="U9" s="184">
        <f>'Traps and Logs'!F144</f>
        <v>44112</v>
      </c>
      <c r="V9" s="185">
        <f t="shared" si="3"/>
        <v>44107</v>
      </c>
      <c r="W9" s="183">
        <f t="shared" si="4"/>
        <v>30</v>
      </c>
      <c r="X9" s="183">
        <f t="shared" ref="X9:X27" si="9">X8+H9</f>
        <v>20</v>
      </c>
      <c r="AB9" s="51">
        <f>'BSi raw data and calculations'!S31</f>
        <v>4.2487933475159156</v>
      </c>
      <c r="AC9" s="51">
        <f>'BSi raw data and calculations'!T31</f>
        <v>9.0889993681819625</v>
      </c>
      <c r="AF9" s="182">
        <f>'PIC data'!AF10</f>
        <v>66.47885331390161</v>
      </c>
      <c r="AG9" s="182">
        <f t="shared" si="5"/>
        <v>7.977178115217459</v>
      </c>
      <c r="AH9" s="182">
        <f t="shared" si="6"/>
        <v>6.7303700262620332</v>
      </c>
      <c r="AI9" s="182">
        <f t="shared" si="7"/>
        <v>95.074456670360064</v>
      </c>
      <c r="AJ9" s="125"/>
      <c r="AK9" s="182">
        <f t="shared" si="8"/>
        <v>7.6503303915625702</v>
      </c>
    </row>
    <row r="10" spans="1:44">
      <c r="A10" s="51">
        <v>2020</v>
      </c>
      <c r="B10" s="51" t="s">
        <v>105</v>
      </c>
      <c r="C10">
        <v>4</v>
      </c>
      <c r="D10" s="51">
        <f>'sample processing comments'!D9</f>
        <v>3</v>
      </c>
      <c r="E10" s="243">
        <f>'mass filt'!V9</f>
        <v>391.07142857142856</v>
      </c>
      <c r="F10" s="51">
        <v>0.5</v>
      </c>
      <c r="G10" s="51" t="str">
        <f>'sample processing comments'!H9</f>
        <v>IN2019_V02, carboy 1, ~10L + 10g Borate, 46˚ 51.53, 141˚ 38.61, UTC 03:50 20/03/2019</v>
      </c>
      <c r="H10" s="183">
        <f t="shared" si="0"/>
        <v>10</v>
      </c>
      <c r="I10" s="182">
        <f t="shared" si="1"/>
        <v>78.214285714285708</v>
      </c>
      <c r="J10" s="182">
        <f t="shared" si="2"/>
        <v>28.567767857142861</v>
      </c>
      <c r="L10" s="89">
        <v>1</v>
      </c>
      <c r="M10" s="125">
        <f>'CHN raw data'!C35</f>
        <v>17.446081161499023</v>
      </c>
      <c r="N10" s="125">
        <f>'CHN raw data'!D35</f>
        <v>1.475044846534729</v>
      </c>
      <c r="O10" s="125">
        <f>'CHN raw data'!E35</f>
        <v>1.5050646066665649</v>
      </c>
      <c r="R10" s="182">
        <f>pH_Sal!D6</f>
        <v>40.06</v>
      </c>
      <c r="S10" s="182">
        <f>pH_Sal!K6</f>
        <v>8.34</v>
      </c>
      <c r="T10" s="184">
        <f>'Traps and Logs'!F144</f>
        <v>44112</v>
      </c>
      <c r="U10" s="184">
        <f>'Traps and Logs'!F145</f>
        <v>44122</v>
      </c>
      <c r="V10" s="185">
        <f t="shared" si="3"/>
        <v>44117</v>
      </c>
      <c r="W10" s="183">
        <f t="shared" si="4"/>
        <v>40</v>
      </c>
      <c r="X10" s="183">
        <f t="shared" si="9"/>
        <v>30</v>
      </c>
      <c r="AB10" s="51">
        <f>'BSi raw data and calculations'!S32</f>
        <v>3.7113961728881879</v>
      </c>
      <c r="AC10" s="51">
        <f>'BSi raw data and calculations'!T32</f>
        <v>7.9394017810199795</v>
      </c>
      <c r="AF10" s="182">
        <f>'PIC data'!AF11</f>
        <v>61.416402694429195</v>
      </c>
      <c r="AG10" s="182">
        <f t="shared" si="5"/>
        <v>7.3697056893568957</v>
      </c>
      <c r="AH10" s="182">
        <f t="shared" si="6"/>
        <v>10.076375472142129</v>
      </c>
      <c r="AI10" s="182">
        <f t="shared" si="7"/>
        <v>96.097164710074054</v>
      </c>
      <c r="AJ10" s="125"/>
      <c r="AK10" s="182">
        <f t="shared" si="8"/>
        <v>7.8098793904151975</v>
      </c>
    </row>
    <row r="11" spans="1:44">
      <c r="A11" s="51">
        <v>2020</v>
      </c>
      <c r="B11" s="51" t="s">
        <v>105</v>
      </c>
      <c r="C11">
        <v>5</v>
      </c>
      <c r="D11" s="51">
        <f>'sample processing comments'!D10</f>
        <v>4</v>
      </c>
      <c r="E11" s="243">
        <f>'mass filt'!V10</f>
        <v>511.94285714285718</v>
      </c>
      <c r="F11" s="51">
        <v>0.5</v>
      </c>
      <c r="G11" s="51" t="str">
        <f>'sample processing comments'!H10</f>
        <v>IN2019_V02, carboy 1, ~10L + 10g Borate, 46˚ 51.53, 141˚ 38.61, UTC 03:50 20/03/2019</v>
      </c>
      <c r="H11" s="183">
        <f t="shared" si="0"/>
        <v>10</v>
      </c>
      <c r="I11" s="182">
        <f t="shared" si="1"/>
        <v>102.38857142857144</v>
      </c>
      <c r="J11" s="182">
        <f t="shared" si="2"/>
        <v>37.397425714285717</v>
      </c>
      <c r="L11" s="89">
        <v>1</v>
      </c>
      <c r="M11" s="125">
        <f>'CHN raw data'!C36</f>
        <v>14.767549514770508</v>
      </c>
      <c r="N11" s="125">
        <f>'CHN raw data'!D36</f>
        <v>0.93128114938735962</v>
      </c>
      <c r="O11" s="125">
        <f>'CHN raw data'!E36</f>
        <v>0.9445081353187561</v>
      </c>
      <c r="R11" s="182">
        <f>pH_Sal!D7</f>
        <v>38.090000000000003</v>
      </c>
      <c r="S11" s="182">
        <f>pH_Sal!K7</f>
        <v>8.4700000000000006</v>
      </c>
      <c r="T11" s="184">
        <f>'Traps and Logs'!F145</f>
        <v>44122</v>
      </c>
      <c r="U11" s="184">
        <f>'Traps and Logs'!F146</f>
        <v>44132</v>
      </c>
      <c r="V11" s="185">
        <f t="shared" si="3"/>
        <v>44127</v>
      </c>
      <c r="W11" s="183">
        <f t="shared" si="4"/>
        <v>50</v>
      </c>
      <c r="X11" s="183">
        <f t="shared" si="9"/>
        <v>40</v>
      </c>
      <c r="AB11">
        <f>AVERAGE('BSi raw data and calculations'!S33:S34)</f>
        <v>3.9807685809615134</v>
      </c>
      <c r="AC11">
        <f>AVERAGE('BSi raw data and calculations'!T33:T34)</f>
        <v>8.5156420088991567</v>
      </c>
      <c r="AF11" s="182">
        <f>'PIC data'!AF12</f>
        <v>67.995382921414688</v>
      </c>
      <c r="AG11" s="182">
        <f t="shared" si="5"/>
        <v>8.1591551830078703</v>
      </c>
      <c r="AH11" s="182">
        <f t="shared" si="6"/>
        <v>6.6083943317626375</v>
      </c>
      <c r="AI11" s="182">
        <f t="shared" si="7"/>
        <v>95.686213081170564</v>
      </c>
      <c r="AJ11" s="125"/>
      <c r="AK11" s="182">
        <f t="shared" si="8"/>
        <v>8.1617892217861243</v>
      </c>
    </row>
    <row r="12" spans="1:44">
      <c r="A12" s="51">
        <v>2020</v>
      </c>
      <c r="B12" s="51" t="s">
        <v>105</v>
      </c>
      <c r="C12">
        <v>6</v>
      </c>
      <c r="D12" s="51">
        <f>'sample processing comments'!D11</f>
        <v>4</v>
      </c>
      <c r="E12" s="243">
        <f>'mass filt'!V11</f>
        <v>440.75714285714287</v>
      </c>
      <c r="F12" s="51">
        <v>0.5</v>
      </c>
      <c r="G12" s="51" t="str">
        <f>'sample processing comments'!H11</f>
        <v>IN2019_V02, carboy 1, ~10L + 10g Borate, 46˚ 51.53, 141˚ 38.61, UTC 03:50 20/03/2019</v>
      </c>
      <c r="H12" s="183">
        <f t="shared" si="0"/>
        <v>10</v>
      </c>
      <c r="I12" s="182">
        <f t="shared" si="1"/>
        <v>88.151428571428568</v>
      </c>
      <c r="J12" s="182">
        <f t="shared" si="2"/>
        <v>32.19730928571429</v>
      </c>
      <c r="L12" s="89">
        <v>1</v>
      </c>
      <c r="M12" s="125">
        <f>'CHN raw data'!C37</f>
        <v>14.464190483093262</v>
      </c>
      <c r="N12" s="125">
        <f>'CHN raw data'!D37</f>
        <v>0.79741251468658447</v>
      </c>
      <c r="O12" s="125">
        <f>'CHN raw data'!E37</f>
        <v>0.88411116600036621</v>
      </c>
      <c r="R12" s="182">
        <f>pH_Sal!D8</f>
        <v>37.96</v>
      </c>
      <c r="S12" s="182">
        <f>pH_Sal!K8</f>
        <v>8.4600000000000009</v>
      </c>
      <c r="T12" s="184">
        <f>'Traps and Logs'!F146</f>
        <v>44132</v>
      </c>
      <c r="U12" s="184">
        <f>'Traps and Logs'!F147</f>
        <v>44142</v>
      </c>
      <c r="V12" s="185">
        <f t="shared" si="3"/>
        <v>44137</v>
      </c>
      <c r="W12" s="183">
        <f t="shared" si="4"/>
        <v>60</v>
      </c>
      <c r="X12" s="183">
        <f t="shared" si="9"/>
        <v>50</v>
      </c>
      <c r="AB12">
        <f>'BSi raw data and calculations'!S35</f>
        <v>3.5414634203872133</v>
      </c>
      <c r="AC12">
        <f>'BSi raw data and calculations'!T35</f>
        <v>7.5758824112163641</v>
      </c>
      <c r="AF12" s="182">
        <f>'PIC data'!AF13</f>
        <v>70.120884254291553</v>
      </c>
      <c r="AG12" s="182">
        <f t="shared" si="5"/>
        <v>8.4142062537059452</v>
      </c>
      <c r="AH12" s="182">
        <f t="shared" si="6"/>
        <v>6.0499842293873165</v>
      </c>
      <c r="AI12" s="182">
        <f t="shared" si="7"/>
        <v>95.540079035393816</v>
      </c>
      <c r="AJ12" s="125"/>
      <c r="AK12" s="182">
        <f t="shared" si="8"/>
        <v>7.982565575177321</v>
      </c>
    </row>
    <row r="13" spans="1:44">
      <c r="A13" s="51">
        <v>2020</v>
      </c>
      <c r="B13" s="51" t="s">
        <v>105</v>
      </c>
      <c r="C13">
        <v>7</v>
      </c>
      <c r="D13" s="51">
        <f>'sample processing comments'!D12</f>
        <v>3</v>
      </c>
      <c r="E13" s="243">
        <f>'mass filt'!V12</f>
        <v>280.41428571428571</v>
      </c>
      <c r="F13" s="51">
        <v>0.5</v>
      </c>
      <c r="G13" s="51" t="str">
        <f>'sample processing comments'!H12</f>
        <v>IN2019_V02, carboy 1, ~10L + 10g Borate, 46˚ 51.53, 141˚ 38.61, UTC 03:50 20/03/2019</v>
      </c>
      <c r="H13" s="183">
        <f t="shared" si="0"/>
        <v>10</v>
      </c>
      <c r="I13" s="182">
        <f t="shared" si="1"/>
        <v>56.082857142857144</v>
      </c>
      <c r="J13" s="182">
        <f t="shared" si="2"/>
        <v>20.484263571428574</v>
      </c>
      <c r="L13" s="89">
        <v>1</v>
      </c>
      <c r="M13" s="125">
        <f>'CHN raw data'!C38</f>
        <v>15.145710945129395</v>
      </c>
      <c r="N13" s="125">
        <f>'CHN raw data'!D38</f>
        <v>0.94634318351745605</v>
      </c>
      <c r="O13" s="125">
        <f>'CHN raw data'!E38</f>
        <v>1.0090804100036621</v>
      </c>
      <c r="R13" s="182">
        <f>pH_Sal!D9</f>
        <v>39.159999999999997</v>
      </c>
      <c r="S13" s="182">
        <f>pH_Sal!K9</f>
        <v>8.52</v>
      </c>
      <c r="T13" s="184">
        <f>'Traps and Logs'!F147</f>
        <v>44142</v>
      </c>
      <c r="U13" s="184">
        <f>'Traps and Logs'!F148</f>
        <v>44152</v>
      </c>
      <c r="V13" s="185">
        <f t="shared" si="3"/>
        <v>44147</v>
      </c>
      <c r="W13" s="183">
        <f t="shared" si="4"/>
        <v>70</v>
      </c>
      <c r="X13" s="183">
        <f t="shared" si="9"/>
        <v>60</v>
      </c>
      <c r="AB13">
        <f>'BSi raw data and calculations'!S36</f>
        <v>3.4740489001330288</v>
      </c>
      <c r="AC13">
        <f>'BSi raw data and calculations'!T36</f>
        <v>7.4316695766818697</v>
      </c>
      <c r="AF13" s="182">
        <f>'PIC data'!AF14</f>
        <v>68.239375960274074</v>
      </c>
      <c r="AG13" s="182">
        <f t="shared" si="5"/>
        <v>8.1884333042874893</v>
      </c>
      <c r="AH13" s="182">
        <f t="shared" si="6"/>
        <v>6.9572776408419053</v>
      </c>
      <c r="AI13" s="182">
        <f t="shared" si="7"/>
        <v>95.494540000243148</v>
      </c>
      <c r="AJ13" s="125"/>
      <c r="AK13" s="182">
        <f t="shared" si="8"/>
        <v>8.0428262702026565</v>
      </c>
    </row>
    <row r="14" spans="1:44">
      <c r="A14" s="51">
        <v>2020</v>
      </c>
      <c r="B14" s="51" t="s">
        <v>105</v>
      </c>
      <c r="C14">
        <v>8</v>
      </c>
      <c r="D14" s="51">
        <f>'sample processing comments'!D13</f>
        <v>3</v>
      </c>
      <c r="E14" s="243">
        <f>'mass filt'!V13</f>
        <v>310.97142857142859</v>
      </c>
      <c r="F14" s="51">
        <v>0.5</v>
      </c>
      <c r="G14" s="51" t="str">
        <f>'sample processing comments'!H13</f>
        <v>IN2019_V02, carboy 1, ~10L + 10g Borate, 46˚ 51.53, 141˚ 38.61, UTC 03:50 20/03/2019</v>
      </c>
      <c r="H14" s="183">
        <f t="shared" si="0"/>
        <v>10</v>
      </c>
      <c r="I14" s="182">
        <f t="shared" si="1"/>
        <v>62.194285714285719</v>
      </c>
      <c r="J14" s="182">
        <f t="shared" si="2"/>
        <v>22.716462857142862</v>
      </c>
      <c r="L14" s="89">
        <v>1</v>
      </c>
      <c r="M14" s="125">
        <f>'CHN raw data'!C39</f>
        <v>14.357670783996582</v>
      </c>
      <c r="N14" s="125">
        <f>'CHN raw data'!D39</f>
        <v>0.8681938648223877</v>
      </c>
      <c r="O14" s="125">
        <f>'CHN raw data'!E39</f>
        <v>0.92747354507446289</v>
      </c>
      <c r="R14" s="182">
        <f>pH_Sal!D10</f>
        <v>39.83</v>
      </c>
      <c r="S14" s="182">
        <f>pH_Sal!K10</f>
        <v>8.4499999999999993</v>
      </c>
      <c r="T14" s="184">
        <f>'Traps and Logs'!F148</f>
        <v>44152</v>
      </c>
      <c r="U14" s="184">
        <f>'Traps and Logs'!F149</f>
        <v>44162</v>
      </c>
      <c r="V14" s="185">
        <f t="shared" si="3"/>
        <v>44157</v>
      </c>
      <c r="W14" s="183">
        <f t="shared" si="4"/>
        <v>80</v>
      </c>
      <c r="X14" s="183">
        <f t="shared" si="9"/>
        <v>70</v>
      </c>
      <c r="AB14">
        <f>'BSi raw data and calculations'!S37</f>
        <v>3.6617362416244483</v>
      </c>
      <c r="AC14">
        <f>'BSi raw data and calculations'!T37</f>
        <v>7.8331694823500584</v>
      </c>
      <c r="AF14" s="182">
        <f>'PIC data'!AF15</f>
        <v>67.34943309880336</v>
      </c>
      <c r="AG14" s="182">
        <f t="shared" si="5"/>
        <v>8.0816439665593425</v>
      </c>
      <c r="AH14" s="182">
        <f t="shared" si="6"/>
        <v>6.2760268174372396</v>
      </c>
      <c r="AI14" s="182">
        <f t="shared" si="7"/>
        <v>93.551510222573853</v>
      </c>
      <c r="AJ14" s="125"/>
      <c r="AK14" s="182">
        <f t="shared" si="8"/>
        <v>7.8936594809485241</v>
      </c>
    </row>
    <row r="15" spans="1:44">
      <c r="A15" s="51">
        <v>2020</v>
      </c>
      <c r="B15" s="51" t="s">
        <v>105</v>
      </c>
      <c r="C15">
        <v>9</v>
      </c>
      <c r="D15" s="51">
        <f>'sample processing comments'!D14</f>
        <v>2</v>
      </c>
      <c r="E15" s="243">
        <f>'mass filt'!V14</f>
        <v>107.5</v>
      </c>
      <c r="F15" s="51">
        <v>0.5</v>
      </c>
      <c r="G15" s="51" t="str">
        <f>'sample processing comments'!H14</f>
        <v>IN2019_V02, carboy 1, ~10L + 10g Borate, 46˚ 51.53, 141˚ 38.61, UTC 03:50 20/03/2019</v>
      </c>
      <c r="H15" s="183">
        <f t="shared" si="0"/>
        <v>10</v>
      </c>
      <c r="I15" s="182">
        <f t="shared" si="1"/>
        <v>21.5</v>
      </c>
      <c r="J15" s="182">
        <f t="shared" si="2"/>
        <v>7.852875</v>
      </c>
      <c r="L15" s="89">
        <v>1</v>
      </c>
      <c r="M15" s="125">
        <f>'CHN raw data'!C40</f>
        <v>15.658727645874023</v>
      </c>
      <c r="N15" s="125">
        <f>'CHN raw data'!D40</f>
        <v>1.1254390478134155</v>
      </c>
      <c r="O15" s="125">
        <f>'CHN raw data'!E40</f>
        <v>1.1629287004470825</v>
      </c>
      <c r="R15" s="182">
        <f>pH_Sal!D11</f>
        <v>40.4</v>
      </c>
      <c r="S15" s="182">
        <f>pH_Sal!K11</f>
        <v>8.51</v>
      </c>
      <c r="T15" s="184">
        <f>'Traps and Logs'!F149</f>
        <v>44162</v>
      </c>
      <c r="U15" s="184">
        <f>'Traps and Logs'!F150</f>
        <v>44172</v>
      </c>
      <c r="V15" s="185">
        <f t="shared" si="3"/>
        <v>44167</v>
      </c>
      <c r="W15" s="183">
        <f t="shared" si="4"/>
        <v>90</v>
      </c>
      <c r="X15" s="183">
        <f t="shared" si="9"/>
        <v>80</v>
      </c>
      <c r="AB15">
        <f>'BSi raw data and calculations'!S38</f>
        <v>3.5906345053797613</v>
      </c>
      <c r="AC15">
        <f>'BSi raw data and calculations'!T38</f>
        <v>7.6810689721705199</v>
      </c>
      <c r="AF15" s="182">
        <f>'PIC data'!AF16</f>
        <v>65.749587841751904</v>
      </c>
      <c r="AG15" s="182">
        <f t="shared" si="5"/>
        <v>7.8896693771056983</v>
      </c>
      <c r="AH15" s="182">
        <f t="shared" si="6"/>
        <v>7.7690582687683252</v>
      </c>
      <c r="AI15" s="182">
        <f t="shared" si="7"/>
        <v>95.067502592151513</v>
      </c>
      <c r="AJ15" s="125"/>
      <c r="AK15" s="182">
        <f t="shared" si="8"/>
        <v>7.7931030274307229</v>
      </c>
    </row>
    <row r="16" spans="1:44">
      <c r="A16" s="51">
        <v>2020</v>
      </c>
      <c r="B16" s="51" t="s">
        <v>105</v>
      </c>
      <c r="C16">
        <v>10</v>
      </c>
      <c r="D16" s="51">
        <f>'sample processing comments'!D15</f>
        <v>2</v>
      </c>
      <c r="E16" s="243">
        <f>'mass filt'!V15</f>
        <v>209.67142857142852</v>
      </c>
      <c r="F16" s="51">
        <v>0.5</v>
      </c>
      <c r="G16" s="51" t="str">
        <f>'sample processing comments'!H15</f>
        <v>IN2019_V02, carboy 1, ~10L + 10g Borate, 46˚ 51.53, 141˚ 38.61, UTC 03:50 20/03/2019</v>
      </c>
      <c r="H16" s="183">
        <f t="shared" si="0"/>
        <v>10</v>
      </c>
      <c r="I16" s="182">
        <f t="shared" si="1"/>
        <v>41.934285714285707</v>
      </c>
      <c r="J16" s="182">
        <f t="shared" si="2"/>
        <v>15.316497857142854</v>
      </c>
      <c r="L16" s="89">
        <v>1</v>
      </c>
      <c r="M16" s="125">
        <f>'CHN raw data'!C41</f>
        <v>16.215448379516602</v>
      </c>
      <c r="N16" s="125">
        <f>'CHN raw data'!D41</f>
        <v>1.1748826503753662</v>
      </c>
      <c r="O16" s="125">
        <f>'CHN raw data'!E41</f>
        <v>1.3226176500320435</v>
      </c>
      <c r="R16" s="182">
        <f>pH_Sal!D12</f>
        <v>38.47</v>
      </c>
      <c r="S16" s="182">
        <f>pH_Sal!K12</f>
        <v>8.34</v>
      </c>
      <c r="T16" s="184">
        <f>'Traps and Logs'!F150</f>
        <v>44172</v>
      </c>
      <c r="U16" s="184">
        <f>'Traps and Logs'!F151</f>
        <v>44182</v>
      </c>
      <c r="V16" s="185">
        <f t="shared" si="3"/>
        <v>44177</v>
      </c>
      <c r="W16" s="183">
        <f t="shared" si="4"/>
        <v>100</v>
      </c>
      <c r="X16" s="183">
        <f t="shared" si="9"/>
        <v>90</v>
      </c>
      <c r="AB16">
        <f>'BSi raw data and calculations'!S41</f>
        <v>3.8982248147823411</v>
      </c>
      <c r="AC16">
        <f>'BSi raw data and calculations'!T41</f>
        <v>8.3390647604226036</v>
      </c>
      <c r="AF16" s="182">
        <f>'PIC data'!AF17</f>
        <v>63.581083482154568</v>
      </c>
      <c r="AG16" s="182">
        <f t="shared" si="5"/>
        <v>7.6294581270943178</v>
      </c>
      <c r="AH16" s="182">
        <f t="shared" si="6"/>
        <v>8.5859902524222846</v>
      </c>
      <c r="AI16" s="182">
        <f t="shared" si="7"/>
        <v>95.426623921552689</v>
      </c>
      <c r="AJ16" s="125"/>
      <c r="AK16" s="182">
        <f t="shared" si="8"/>
        <v>7.5727078962378966</v>
      </c>
    </row>
    <row r="17" spans="1:44">
      <c r="A17" s="51">
        <v>2020</v>
      </c>
      <c r="B17" s="51" t="s">
        <v>105</v>
      </c>
      <c r="C17">
        <v>11</v>
      </c>
      <c r="D17" s="51">
        <f>'sample processing comments'!D16</f>
        <v>15</v>
      </c>
      <c r="E17" s="243">
        <f>'mass filt'!V16</f>
        <v>300.1571428571429</v>
      </c>
      <c r="F17" s="51">
        <v>0.5</v>
      </c>
      <c r="G17" s="51" t="str">
        <f>'sample processing comments'!H16</f>
        <v>IN2019_V02, carboy 1, ~10L + 10g Borate, 46˚ 51.53, 141˚ 38.61, UTC 03:50 20/03/2019</v>
      </c>
      <c r="H17" s="183">
        <f t="shared" si="0"/>
        <v>10</v>
      </c>
      <c r="I17" s="182">
        <f t="shared" si="1"/>
        <v>60.031428571428577</v>
      </c>
      <c r="J17" s="182">
        <f t="shared" si="2"/>
        <v>21.92647928571429</v>
      </c>
      <c r="L17" s="89">
        <v>1</v>
      </c>
      <c r="M17" s="125">
        <f>AVERAGE('CHN raw data'!C43,'CHN raw data'!C56)</f>
        <v>18.892843246459961</v>
      </c>
      <c r="N17" s="125">
        <f>AVERAGE('CHN raw data'!D43,'CHN raw data'!D56)</f>
        <v>1.9466583728790283</v>
      </c>
      <c r="O17" s="125">
        <f>AVERAGE('CHN raw data'!E43,'CHN raw data'!E56)</f>
        <v>2.5016237497329712</v>
      </c>
      <c r="R17" s="182">
        <f>pH_Sal!D13</f>
        <v>39.770000000000003</v>
      </c>
      <c r="S17" s="182">
        <f>pH_Sal!K13</f>
        <v>8.42</v>
      </c>
      <c r="T17" s="184">
        <f>'Traps and Logs'!F151</f>
        <v>44182</v>
      </c>
      <c r="U17" s="184">
        <f>'Traps and Logs'!F152</f>
        <v>44192</v>
      </c>
      <c r="V17" s="185">
        <f t="shared" si="3"/>
        <v>44187</v>
      </c>
      <c r="W17" s="183">
        <f t="shared" si="4"/>
        <v>110</v>
      </c>
      <c r="X17" s="183">
        <f t="shared" si="9"/>
        <v>100</v>
      </c>
      <c r="AB17" s="528">
        <f>AVERAGE('BSi raw data and calculations'!S42,'BSi raw data repeats'!S33:S34)</f>
        <v>8.939913538849785</v>
      </c>
      <c r="AC17" s="528">
        <f>AVERAGE('BSi raw data and calculations'!T42,'BSi raw data repeats'!T33:T34)</f>
        <v>19.124222305072394</v>
      </c>
      <c r="AF17" s="182">
        <f>'PIC data'!AF18</f>
        <v>53.821443735457017</v>
      </c>
      <c r="AG17" s="182">
        <f t="shared" si="5"/>
        <v>6.4583430924810212</v>
      </c>
      <c r="AH17" s="182">
        <f t="shared" si="6"/>
        <v>12.43450015397894</v>
      </c>
      <c r="AI17" s="182">
        <f t="shared" si="7"/>
        <v>106.10523083284104</v>
      </c>
      <c r="AJ17" s="125"/>
      <c r="AK17" s="186">
        <f t="shared" si="8"/>
        <v>5.7983105060969891</v>
      </c>
    </row>
    <row r="18" spans="1:44">
      <c r="A18" s="51">
        <v>2020</v>
      </c>
      <c r="B18" s="51" t="s">
        <v>105</v>
      </c>
      <c r="C18">
        <v>12</v>
      </c>
      <c r="D18" s="51">
        <f>'sample processing comments'!D17</f>
        <v>10</v>
      </c>
      <c r="E18" s="371">
        <f>'mass filt'!V18</f>
        <v>515.82857142857142</v>
      </c>
      <c r="F18" s="51">
        <v>0.5</v>
      </c>
      <c r="G18" s="51" t="str">
        <f>'sample processing comments'!H17</f>
        <v>IN2019_V02, carboy 1, ~10L + 10g Borate, 46˚ 51.53, 141˚ 38.61, UTC 03:50 20/03/2019</v>
      </c>
      <c r="H18" s="183">
        <f t="shared" si="0"/>
        <v>10</v>
      </c>
      <c r="I18" s="182">
        <f t="shared" si="1"/>
        <v>103.16571428571429</v>
      </c>
      <c r="J18" s="182">
        <f t="shared" si="2"/>
        <v>37.681277142857148</v>
      </c>
      <c r="L18" s="89">
        <v>1</v>
      </c>
      <c r="M18" s="125">
        <f>'CHN raw data'!C44</f>
        <v>14.937522888183594</v>
      </c>
      <c r="N18" s="125">
        <f>'CHN raw data'!D44</f>
        <v>1.0394529104232788</v>
      </c>
      <c r="O18" s="125">
        <f>'CHN raw data'!E44</f>
        <v>1.0447148084640503</v>
      </c>
      <c r="Q18" s="220" t="s">
        <v>1833</v>
      </c>
      <c r="R18" s="221">
        <f>AVERAGE(pH_Sal!G14,pH_Sal!D14)</f>
        <v>39.114999999999995</v>
      </c>
      <c r="S18" s="221">
        <f>AVERAGE(pH_Sal!K14,pH_Sal!N14)</f>
        <v>8.4149999999999991</v>
      </c>
      <c r="T18" s="184">
        <f>'Traps and Logs'!F152</f>
        <v>44192</v>
      </c>
      <c r="U18" s="184">
        <f>'Traps and Logs'!F153</f>
        <v>44202</v>
      </c>
      <c r="V18" s="185">
        <f t="shared" si="3"/>
        <v>44197</v>
      </c>
      <c r="W18" s="183">
        <f t="shared" si="4"/>
        <v>120</v>
      </c>
      <c r="X18" s="183">
        <f t="shared" si="9"/>
        <v>110</v>
      </c>
      <c r="AB18" s="528">
        <f>AVERAGE('BSi raw data and calculations'!S43,'BSi raw data repeats'!S32)</f>
        <v>4.4432831128703842</v>
      </c>
      <c r="AC18" s="528">
        <f>AVERAGE('BSi raw data and calculations'!T43,'BSi raw data repeats'!T32)</f>
        <v>9.5050509879808232</v>
      </c>
      <c r="AF18" s="182">
        <f>'PIC data'!AF19</f>
        <v>66.010001037733517</v>
      </c>
      <c r="AG18" s="182">
        <f t="shared" si="5"/>
        <v>7.9209178470227322</v>
      </c>
      <c r="AH18" s="182">
        <f t="shared" si="6"/>
        <v>7.0166050411608616</v>
      </c>
      <c r="AI18" s="182">
        <f t="shared" si="7"/>
        <v>95.697138724946129</v>
      </c>
      <c r="AJ18" s="125"/>
      <c r="AK18" s="182">
        <f t="shared" si="8"/>
        <v>7.8347367447335854</v>
      </c>
    </row>
    <row r="19" spans="1:44">
      <c r="A19" s="51">
        <v>2020</v>
      </c>
      <c r="B19" s="51" t="s">
        <v>105</v>
      </c>
      <c r="C19">
        <v>13</v>
      </c>
      <c r="D19" s="51">
        <f>'sample processing comments'!D18</f>
        <v>13</v>
      </c>
      <c r="E19" s="371">
        <f>'mass filt'!V20</f>
        <v>671.31428571428569</v>
      </c>
      <c r="F19" s="51">
        <v>0.5</v>
      </c>
      <c r="G19" s="51" t="str">
        <f>'sample processing comments'!H18</f>
        <v>IN2019_V02, carboy 1, ~10L + 10g Borate, 46˚ 51.53, 141˚ 38.61, UTC 03:50 20/03/2019</v>
      </c>
      <c r="H19" s="183">
        <f t="shared" si="0"/>
        <v>10</v>
      </c>
      <c r="I19" s="182">
        <f t="shared" si="1"/>
        <v>134.26285714285714</v>
      </c>
      <c r="J19" s="182">
        <f t="shared" si="2"/>
        <v>49.03950857142857</v>
      </c>
      <c r="L19" s="89">
        <v>1</v>
      </c>
      <c r="M19" s="125">
        <f>'CHN raw data'!C45</f>
        <v>14.958255767822266</v>
      </c>
      <c r="N19" s="125">
        <f>'CHN raw data'!D45</f>
        <v>1.1606467962265015</v>
      </c>
      <c r="O19" s="125">
        <f>'CHN raw data'!E45</f>
        <v>1.2871034145355225</v>
      </c>
      <c r="R19" s="182">
        <f>pH_Sal!D15</f>
        <v>39.880000000000003</v>
      </c>
      <c r="S19" s="182">
        <f>pH_Sal!K15</f>
        <v>8.3699999999999992</v>
      </c>
      <c r="T19" s="184">
        <f>'Traps and Logs'!F153</f>
        <v>44202</v>
      </c>
      <c r="U19" s="184">
        <f>'Traps and Logs'!F154</f>
        <v>44212</v>
      </c>
      <c r="V19" s="185">
        <f t="shared" si="3"/>
        <v>44207</v>
      </c>
      <c r="W19" s="183">
        <f t="shared" si="4"/>
        <v>130</v>
      </c>
      <c r="X19" s="183">
        <f t="shared" si="9"/>
        <v>120</v>
      </c>
      <c r="AB19" s="528">
        <f>AVERAGE('BSi raw data and calculations'!S44:S45,'BSi raw data repeats'!S29:S30)</f>
        <v>7.0473298904850807</v>
      </c>
      <c r="AC19" s="528">
        <f>AVERAGE('BSi raw data and calculations'!T44:T45,'BSi raw data repeats'!T29:T30)</f>
        <v>15.075615988581292</v>
      </c>
      <c r="AF19" s="182">
        <f>'PIC data'!AF20</f>
        <v>57.371166334528922</v>
      </c>
      <c r="AG19" s="182">
        <f t="shared" si="5"/>
        <v>6.8842946247480175</v>
      </c>
      <c r="AH19" s="182">
        <f t="shared" si="6"/>
        <v>8.0739611430742482</v>
      </c>
      <c r="AI19" s="182">
        <f t="shared" si="7"/>
        <v>95.567814596617509</v>
      </c>
      <c r="AJ19" s="125"/>
      <c r="AK19" s="182">
        <f t="shared" si="8"/>
        <v>7.3175945129487054</v>
      </c>
    </row>
    <row r="20" spans="1:44">
      <c r="A20" s="51">
        <v>2020</v>
      </c>
      <c r="B20" s="51" t="s">
        <v>105</v>
      </c>
      <c r="C20">
        <v>14</v>
      </c>
      <c r="D20" s="51">
        <f>'sample processing comments'!D19</f>
        <v>7</v>
      </c>
      <c r="E20" s="371">
        <f>'mass filt'!V22</f>
        <v>354.2714285714286</v>
      </c>
      <c r="F20" s="51">
        <v>0.5</v>
      </c>
      <c r="G20" s="51" t="str">
        <f>'sample processing comments'!H19</f>
        <v>IN2019_V02, carboy 1, ~10L + 10g Borate, 46˚ 51.53, 141˚ 38.61, UTC 03:50 20/03/2019</v>
      </c>
      <c r="H20" s="183">
        <f t="shared" si="0"/>
        <v>10</v>
      </c>
      <c r="I20" s="182">
        <f t="shared" si="1"/>
        <v>70.854285714285723</v>
      </c>
      <c r="J20" s="182">
        <f t="shared" si="2"/>
        <v>25.879527857142858</v>
      </c>
      <c r="L20" s="89">
        <v>1</v>
      </c>
      <c r="M20" s="125">
        <f>'CHN raw data'!C46</f>
        <v>15.050312995910645</v>
      </c>
      <c r="N20" s="125">
        <f>'CHN raw data'!D46</f>
        <v>1.0767064094543457</v>
      </c>
      <c r="O20" s="125">
        <f>'CHN raw data'!E46</f>
        <v>1.131980299949646</v>
      </c>
      <c r="R20" s="182">
        <f>pH_Sal!D16</f>
        <v>38.74</v>
      </c>
      <c r="S20" s="182">
        <f>pH_Sal!K16</f>
        <v>8.31</v>
      </c>
      <c r="T20" s="184">
        <f>'Traps and Logs'!F154</f>
        <v>44212</v>
      </c>
      <c r="U20" s="184">
        <f>'Traps and Logs'!F155</f>
        <v>44222</v>
      </c>
      <c r="V20" s="185">
        <f t="shared" si="3"/>
        <v>44217</v>
      </c>
      <c r="W20" s="183">
        <f t="shared" si="4"/>
        <v>140</v>
      </c>
      <c r="X20" s="183">
        <f t="shared" si="9"/>
        <v>130</v>
      </c>
      <c r="AB20" s="528">
        <f>AVERAGE('BSi raw data and calculations'!S46,'BSi raw data repeats'!S31)</f>
        <v>3.5348340234192897</v>
      </c>
      <c r="AC20" s="528">
        <f>AVERAGE('BSi raw data and calculations'!T46,'BSi raw data repeats'!T31)</f>
        <v>7.5617008354312967</v>
      </c>
      <c r="AF20" s="182">
        <f>'PIC data'!AF21</f>
        <v>63.755232943097894</v>
      </c>
      <c r="AG20" s="182">
        <f t="shared" si="5"/>
        <v>7.6503553176949799</v>
      </c>
      <c r="AH20" s="182">
        <f t="shared" si="6"/>
        <v>7.3999576782156646</v>
      </c>
      <c r="AI20" s="182">
        <f t="shared" si="7"/>
        <v>92.128627762501097</v>
      </c>
      <c r="AJ20" s="125"/>
      <c r="AK20" s="182">
        <f t="shared" si="8"/>
        <v>7.6258014756669876</v>
      </c>
    </row>
    <row r="21" spans="1:44">
      <c r="A21" s="51">
        <v>2020</v>
      </c>
      <c r="B21" s="51" t="s">
        <v>105</v>
      </c>
      <c r="C21">
        <v>15</v>
      </c>
      <c r="D21" s="51">
        <f>'sample processing comments'!D20</f>
        <v>2</v>
      </c>
      <c r="E21" s="371">
        <f>'mass filt'!V23</f>
        <v>168.98571428571429</v>
      </c>
      <c r="F21" s="51">
        <v>0.5</v>
      </c>
      <c r="G21" s="51" t="str">
        <f>'sample processing comments'!H20</f>
        <v>IN2019_V02, carboy 1, ~10L + 10g Borate, 46˚ 51.53, 141˚ 38.61, UTC 03:50 20/03/2019</v>
      </c>
      <c r="H21" s="183">
        <f t="shared" si="0"/>
        <v>10</v>
      </c>
      <c r="I21" s="182">
        <f t="shared" si="1"/>
        <v>33.797142857142859</v>
      </c>
      <c r="J21" s="182">
        <f t="shared" si="2"/>
        <v>12.34440642857143</v>
      </c>
      <c r="L21" s="89">
        <v>1</v>
      </c>
      <c r="M21" s="125">
        <f>AVERAGE('CHN raw data'!C47:C48)</f>
        <v>14.684128284454346</v>
      </c>
      <c r="N21" s="125">
        <f>AVERAGE('CHN raw data'!D47:D48)</f>
        <v>0.78121787309646606</v>
      </c>
      <c r="O21" s="125">
        <f>AVERAGE('CHN raw data'!E47:E48)</f>
        <v>1.034546434879303</v>
      </c>
      <c r="R21" s="182">
        <f>pH_Sal!D17</f>
        <v>37.24</v>
      </c>
      <c r="S21" s="182">
        <f>pH_Sal!K17</f>
        <v>8.36</v>
      </c>
      <c r="T21" s="184">
        <f>'Traps and Logs'!F155</f>
        <v>44222</v>
      </c>
      <c r="U21" s="184">
        <f>'Traps and Logs'!F156</f>
        <v>44232</v>
      </c>
      <c r="V21" s="185">
        <f t="shared" si="3"/>
        <v>44227</v>
      </c>
      <c r="W21" s="183">
        <f t="shared" si="4"/>
        <v>150</v>
      </c>
      <c r="X21" s="183">
        <f t="shared" si="9"/>
        <v>140</v>
      </c>
      <c r="AB21">
        <f>'BSi raw data and calculations'!S47</f>
        <v>1.7803086555360281</v>
      </c>
      <c r="AC21">
        <f>'BSi raw data and calculations'!T47</f>
        <v>3.8084281634446397</v>
      </c>
      <c r="AF21" s="182">
        <f>'PIC data'!AF22</f>
        <v>71.363690001210657</v>
      </c>
      <c r="AG21" s="182">
        <f t="shared" si="5"/>
        <v>8.5633376287460194</v>
      </c>
      <c r="AH21" s="182">
        <f t="shared" si="6"/>
        <v>6.1207906557083263</v>
      </c>
      <c r="AI21" s="182">
        <f t="shared" si="7"/>
        <v>92.75678470519253</v>
      </c>
      <c r="AJ21" s="125"/>
      <c r="AK21" s="182">
        <f t="shared" si="8"/>
        <v>6.9016457734102676</v>
      </c>
    </row>
    <row r="22" spans="1:44">
      <c r="A22" s="51">
        <v>2020</v>
      </c>
      <c r="B22" s="51" t="s">
        <v>105</v>
      </c>
      <c r="C22">
        <v>16</v>
      </c>
      <c r="D22" s="51">
        <f>'sample processing comments'!D21</f>
        <v>2</v>
      </c>
      <c r="E22" s="488">
        <f>'mass filt'!V24/2</f>
        <v>126.16428571428571</v>
      </c>
      <c r="F22" s="483">
        <v>0.5</v>
      </c>
      <c r="G22" s="483" t="str">
        <f>'sample processing comments'!H21</f>
        <v>IN2019_V02, carboy 1, ~10L + 10g Borate, 46˚ 51.53, 141˚ 38.61, UTC 03:50 20/03/2019</v>
      </c>
      <c r="H22" s="484">
        <f t="shared" si="0"/>
        <v>10</v>
      </c>
      <c r="I22" s="485">
        <f>E22/F22/(H22+H23)</f>
        <v>12.616428571428571</v>
      </c>
      <c r="J22" s="485">
        <f>0.001*365.25*E22/F22/(H22+H23)</f>
        <v>4.6081505357142856</v>
      </c>
      <c r="L22" s="89">
        <v>1</v>
      </c>
      <c r="M22" s="125">
        <f>'CHN raw data'!C50</f>
        <v>16.873802185058594</v>
      </c>
      <c r="N22" s="125">
        <f>'CHN raw data'!D50</f>
        <v>1.270747184753418</v>
      </c>
      <c r="O22" s="125">
        <f>'CHN raw data'!E50</f>
        <v>2.0877974033355713</v>
      </c>
      <c r="R22" s="182">
        <f>pH_Sal!D18</f>
        <v>39.270000000000003</v>
      </c>
      <c r="S22" s="182">
        <f>pH_Sal!K18</f>
        <v>8.5299999999999994</v>
      </c>
      <c r="T22" s="184">
        <f>'Traps and Logs'!F156</f>
        <v>44232</v>
      </c>
      <c r="U22" s="184">
        <f>'Traps and Logs'!F157</f>
        <v>44242</v>
      </c>
      <c r="V22" s="185">
        <f t="shared" si="3"/>
        <v>44237</v>
      </c>
      <c r="W22" s="183">
        <f t="shared" si="4"/>
        <v>160</v>
      </c>
      <c r="X22" s="183">
        <f t="shared" si="9"/>
        <v>150</v>
      </c>
      <c r="AB22">
        <f>'BSi raw data and calculations'!S48</f>
        <v>1.1780830604108081</v>
      </c>
      <c r="AC22">
        <f>'BSi raw data and calculations'!T48</f>
        <v>2.5201499145633841</v>
      </c>
      <c r="AF22" s="182">
        <f>'PIC data'!AF23</f>
        <v>63.815883762088824</v>
      </c>
      <c r="AG22" s="182">
        <f t="shared" si="5"/>
        <v>7.6576331566137705</v>
      </c>
      <c r="AH22" s="182">
        <f t="shared" si="6"/>
        <v>9.2161690284448241</v>
      </c>
      <c r="AI22" s="182">
        <f t="shared" si="7"/>
        <v>90.588822029832798</v>
      </c>
      <c r="AJ22" s="125"/>
      <c r="AK22" s="186">
        <f t="shared" si="8"/>
        <v>5.1494068461805602</v>
      </c>
    </row>
    <row r="23" spans="1:44">
      <c r="A23" s="51">
        <v>2020</v>
      </c>
      <c r="B23" s="51" t="s">
        <v>105</v>
      </c>
      <c r="C23">
        <v>17</v>
      </c>
      <c r="D23" s="51">
        <f>'sample processing comments'!D22</f>
        <v>2</v>
      </c>
      <c r="E23" s="488" t="s">
        <v>1896</v>
      </c>
      <c r="F23" s="483">
        <v>0.5</v>
      </c>
      <c r="G23" s="483" t="str">
        <f>'sample processing comments'!H22</f>
        <v>IN2019_V02, carboy 1, ~10L + 10g Borate, 46˚ 51.53, 141˚ 38.61, UTC 03:50 20/03/2019</v>
      </c>
      <c r="H23" s="484">
        <f t="shared" si="0"/>
        <v>10</v>
      </c>
      <c r="I23" s="485" t="s">
        <v>1899</v>
      </c>
      <c r="J23" s="485" t="s">
        <v>1899</v>
      </c>
      <c r="L23" s="252">
        <v>0</v>
      </c>
      <c r="M23" t="s">
        <v>1899</v>
      </c>
      <c r="N23" t="s">
        <v>1899</v>
      </c>
      <c r="O23" t="s">
        <v>1899</v>
      </c>
      <c r="R23" s="182">
        <f>pH_Sal!D19</f>
        <v>39.75</v>
      </c>
      <c r="S23" s="182">
        <f>pH_Sal!K19</f>
        <v>8.26</v>
      </c>
      <c r="T23" s="184">
        <f>'Traps and Logs'!F157</f>
        <v>44242</v>
      </c>
      <c r="U23" s="184">
        <f>'Traps and Logs'!F158</f>
        <v>44252</v>
      </c>
      <c r="V23" s="185">
        <f t="shared" si="3"/>
        <v>44247</v>
      </c>
      <c r="W23" s="183">
        <f t="shared" si="4"/>
        <v>170</v>
      </c>
      <c r="X23" s="183">
        <f t="shared" si="9"/>
        <v>160</v>
      </c>
      <c r="AB23" t="s">
        <v>1899</v>
      </c>
      <c r="AC23" t="s">
        <v>1899</v>
      </c>
      <c r="AF23" s="182" t="s">
        <v>1899</v>
      </c>
      <c r="AG23" s="182" t="s">
        <v>1899</v>
      </c>
      <c r="AH23" s="182" t="s">
        <v>1899</v>
      </c>
      <c r="AI23" s="182" t="s">
        <v>1899</v>
      </c>
      <c r="AJ23" s="125"/>
      <c r="AK23" s="182" t="s">
        <v>1899</v>
      </c>
    </row>
    <row r="24" spans="1:44">
      <c r="A24" s="51">
        <v>2020</v>
      </c>
      <c r="B24" s="51" t="s">
        <v>105</v>
      </c>
      <c r="C24">
        <v>18</v>
      </c>
      <c r="D24" s="51">
        <f>'sample processing comments'!D23</f>
        <v>1</v>
      </c>
      <c r="E24" s="371">
        <f>'mass filt'!V25</f>
        <v>73.314285714285731</v>
      </c>
      <c r="F24" s="51">
        <v>0.5</v>
      </c>
      <c r="G24" s="51" t="str">
        <f>'sample processing comments'!H23</f>
        <v>IN2019_V02, carboy 1, ~10L + 10g Borate, 46˚ 51.53, 141˚ 38.61, UTC 03:50 20/03/2019</v>
      </c>
      <c r="H24" s="183">
        <f t="shared" si="0"/>
        <v>10</v>
      </c>
      <c r="I24" s="182">
        <f t="shared" si="1"/>
        <v>14.662857142857145</v>
      </c>
      <c r="J24" s="182">
        <f t="shared" si="2"/>
        <v>5.3556085714285731</v>
      </c>
      <c r="L24" s="89">
        <v>1</v>
      </c>
      <c r="M24" s="125">
        <f>'CHN raw data'!C51</f>
        <v>17.195487976074219</v>
      </c>
      <c r="N24" s="125">
        <f>'CHN raw data'!D51</f>
        <v>1.3342355489730835</v>
      </c>
      <c r="O24" s="125">
        <f>'CHN raw data'!E51</f>
        <v>1.5782257318496704</v>
      </c>
      <c r="R24" s="182">
        <f>pH_Sal!D20</f>
        <v>39.590000000000003</v>
      </c>
      <c r="S24" s="182">
        <f>pH_Sal!K20</f>
        <v>8.4499999999999993</v>
      </c>
      <c r="T24" s="184">
        <f>'Traps and Logs'!F158</f>
        <v>44252</v>
      </c>
      <c r="U24" s="184">
        <f>'Traps and Logs'!F159</f>
        <v>44262</v>
      </c>
      <c r="V24" s="185">
        <f t="shared" si="3"/>
        <v>44257</v>
      </c>
      <c r="W24" s="183">
        <f t="shared" si="4"/>
        <v>180</v>
      </c>
      <c r="X24" s="183">
        <f t="shared" si="9"/>
        <v>170</v>
      </c>
      <c r="AB24">
        <f>'BSi raw data and calculations'!S49</f>
        <v>2.3456241663983803</v>
      </c>
      <c r="AC24">
        <f>'BSi raw data and calculations'!T49</f>
        <v>5.0177485282619685</v>
      </c>
      <c r="AF24" s="182">
        <f>'PIC data'!AF25</f>
        <v>64.835159973201399</v>
      </c>
      <c r="AG24" s="182">
        <f t="shared" si="5"/>
        <v>7.779941943232819</v>
      </c>
      <c r="AH24" s="182">
        <f t="shared" si="6"/>
        <v>9.4155460328413998</v>
      </c>
      <c r="AI24" s="182">
        <f t="shared" si="7"/>
        <v>94.819062111823271</v>
      </c>
      <c r="AJ24" s="125"/>
      <c r="AK24" s="182">
        <f t="shared" si="8"/>
        <v>6.9593955145042239</v>
      </c>
    </row>
    <row r="25" spans="1:44">
      <c r="A25" s="51">
        <v>2020</v>
      </c>
      <c r="B25" s="51" t="s">
        <v>105</v>
      </c>
      <c r="C25">
        <v>19</v>
      </c>
      <c r="D25" s="51">
        <f>'sample processing comments'!D24</f>
        <v>2</v>
      </c>
      <c r="E25" s="371">
        <f>'mass filt'!V26</f>
        <v>115.95714285714286</v>
      </c>
      <c r="F25" s="51">
        <v>0.5</v>
      </c>
      <c r="G25" s="51" t="str">
        <f>'sample processing comments'!H24</f>
        <v>IN2019_V02, carboy 1, ~10L + 10g Borate, 46˚ 51.53, 141˚ 38.61, UTC 03:50 20/03/2019</v>
      </c>
      <c r="H25" s="183">
        <f t="shared" si="0"/>
        <v>10</v>
      </c>
      <c r="I25" s="182">
        <f t="shared" si="1"/>
        <v>23.19142857142857</v>
      </c>
      <c r="J25" s="182">
        <f t="shared" si="2"/>
        <v>8.4706692857142851</v>
      </c>
      <c r="L25" s="89">
        <v>1</v>
      </c>
      <c r="M25" s="125">
        <f>'CHN raw data'!C52</f>
        <v>16.143436431884766</v>
      </c>
      <c r="N25" s="125">
        <f>'CHN raw data'!D52</f>
        <v>1.0967390537261963</v>
      </c>
      <c r="O25" s="125">
        <f>'CHN raw data'!E52</f>
        <v>1.3085955381393433</v>
      </c>
      <c r="R25" s="182">
        <f>pH_Sal!D21</f>
        <v>40.21</v>
      </c>
      <c r="S25" s="182">
        <f>pH_Sal!K21</f>
        <v>8.5399999999999991</v>
      </c>
      <c r="T25" s="184">
        <f>'Traps and Logs'!F159</f>
        <v>44262</v>
      </c>
      <c r="U25" s="184">
        <f>'Traps and Logs'!F160</f>
        <v>44272</v>
      </c>
      <c r="V25" s="185">
        <f t="shared" si="3"/>
        <v>44267</v>
      </c>
      <c r="W25" s="183">
        <f t="shared" si="4"/>
        <v>190</v>
      </c>
      <c r="X25" s="183">
        <f t="shared" si="9"/>
        <v>180</v>
      </c>
      <c r="AB25">
        <f>'BSi raw data and calculations'!S50</f>
        <v>3.1318612688082719</v>
      </c>
      <c r="AC25">
        <f>'BSi raw data and calculations'!T50</f>
        <v>6.6996633550263098</v>
      </c>
      <c r="AF25" s="182">
        <f>'PIC data'!AF26</f>
        <v>67.795324463626258</v>
      </c>
      <c r="AG25" s="182">
        <f t="shared" si="5"/>
        <v>8.1351490235800217</v>
      </c>
      <c r="AH25" s="182">
        <f t="shared" si="6"/>
        <v>8.0082874083047439</v>
      </c>
      <c r="AI25" s="182">
        <f t="shared" si="7"/>
        <v>96.550183085975902</v>
      </c>
      <c r="AJ25" s="125"/>
      <c r="AK25" s="182">
        <f t="shared" si="8"/>
        <v>7.1388678686860194</v>
      </c>
    </row>
    <row r="26" spans="1:44">
      <c r="A26" s="51">
        <v>2020</v>
      </c>
      <c r="B26" s="51" t="s">
        <v>105</v>
      </c>
      <c r="C26">
        <v>20</v>
      </c>
      <c r="D26" s="51">
        <f>'sample processing comments'!D25</f>
        <v>3</v>
      </c>
      <c r="E26" s="371">
        <f>'mass filt'!V27</f>
        <v>151.99999999999997</v>
      </c>
      <c r="F26" s="51">
        <v>0.5</v>
      </c>
      <c r="G26" s="51" t="str">
        <f>'sample processing comments'!H25</f>
        <v>IN2019_V02, carboy 1, ~10L + 10g Borate, 46˚ 51.53, 141˚ 38.61, UTC 03:50 20/03/2019</v>
      </c>
      <c r="H26" s="183">
        <f t="shared" si="0"/>
        <v>10</v>
      </c>
      <c r="I26" s="182">
        <f t="shared" si="1"/>
        <v>30.399999999999995</v>
      </c>
      <c r="J26" s="182">
        <f t="shared" si="2"/>
        <v>11.103599999999998</v>
      </c>
      <c r="L26" s="89">
        <v>1</v>
      </c>
      <c r="M26" s="125">
        <f>'CHN raw data'!C53</f>
        <v>16.265813827514648</v>
      </c>
      <c r="N26" s="125">
        <f>'CHN raw data'!D53</f>
        <v>1.3220436573028564</v>
      </c>
      <c r="O26" s="125">
        <f>'CHN raw data'!E53</f>
        <v>1.408505916595459</v>
      </c>
      <c r="R26" s="182">
        <f>pH_Sal!D22</f>
        <v>40.159999999999997</v>
      </c>
      <c r="S26" s="182">
        <f>pH_Sal!K22</f>
        <v>8.5500000000000007</v>
      </c>
      <c r="T26" s="184">
        <f>'Traps and Logs'!F160</f>
        <v>44272</v>
      </c>
      <c r="U26" s="184">
        <f>'Traps and Logs'!F161</f>
        <v>44282</v>
      </c>
      <c r="V26" s="185">
        <f t="shared" si="3"/>
        <v>44277</v>
      </c>
      <c r="W26" s="183">
        <f t="shared" si="4"/>
        <v>200</v>
      </c>
      <c r="X26" s="183">
        <f t="shared" si="9"/>
        <v>190</v>
      </c>
      <c r="AB26">
        <f>'BSi raw data and calculations'!S51</f>
        <v>4.4693854411706067</v>
      </c>
      <c r="AC26">
        <f>'BSi raw data and calculations'!T51</f>
        <v>9.5608889697380484</v>
      </c>
      <c r="AF26" s="182">
        <f>'PIC data'!AF27</f>
        <v>62.394346906582868</v>
      </c>
      <c r="AG26" s="182">
        <f t="shared" si="5"/>
        <v>7.4870548128482373</v>
      </c>
      <c r="AH26" s="182">
        <f t="shared" si="6"/>
        <v>8.7787590146664112</v>
      </c>
      <c r="AI26" s="182">
        <f t="shared" si="7"/>
        <v>96.020203495258201</v>
      </c>
      <c r="AJ26" s="125"/>
      <c r="AK26" s="182">
        <f t="shared" si="8"/>
        <v>7.2705887420001192</v>
      </c>
    </row>
    <row r="27" spans="1:44">
      <c r="A27" s="51">
        <v>2020</v>
      </c>
      <c r="B27" s="51" t="s">
        <v>105</v>
      </c>
      <c r="C27">
        <v>21</v>
      </c>
      <c r="D27" s="51">
        <f>'sample processing comments'!D26</f>
        <v>3</v>
      </c>
      <c r="E27" s="371">
        <f>'mass filt'!V28</f>
        <v>169.45714285714286</v>
      </c>
      <c r="F27" s="51">
        <v>0.5</v>
      </c>
      <c r="G27" s="51" t="str">
        <f>'sample processing comments'!H26</f>
        <v>IN2019_V02, carboy 1, ~10L + 10g Borate, 46˚ 51.53, 141˚ 38.61, UTC 03:50 20/03/2019</v>
      </c>
      <c r="H27" s="183">
        <f t="shared" si="0"/>
        <v>10</v>
      </c>
      <c r="I27" s="182">
        <f t="shared" si="1"/>
        <v>33.89142857142857</v>
      </c>
      <c r="J27" s="182">
        <f t="shared" si="2"/>
        <v>12.378844285714287</v>
      </c>
      <c r="L27" s="89">
        <v>1</v>
      </c>
      <c r="M27" s="125">
        <f>'CHN raw data'!C54</f>
        <v>18.702775955200195</v>
      </c>
      <c r="N27" s="125">
        <f>'CHN raw data'!D54</f>
        <v>1.7799806594848633</v>
      </c>
      <c r="O27" s="125">
        <f>'CHN raw data'!E54</f>
        <v>1.9104586839675903</v>
      </c>
      <c r="R27" s="182">
        <f>pH_Sal!D23</f>
        <v>40.25</v>
      </c>
      <c r="S27" s="182">
        <f>pH_Sal!K23</f>
        <v>8.59</v>
      </c>
      <c r="T27" s="184">
        <f>'Traps and Logs'!F161</f>
        <v>44282</v>
      </c>
      <c r="U27" s="184">
        <f>'Traps and Logs'!F162</f>
        <v>44292</v>
      </c>
      <c r="V27" s="185">
        <f t="shared" si="3"/>
        <v>44287</v>
      </c>
      <c r="W27" s="183">
        <f t="shared" si="4"/>
        <v>210</v>
      </c>
      <c r="X27" s="183">
        <f t="shared" si="9"/>
        <v>200</v>
      </c>
      <c r="AB27">
        <f>'BSi raw data and calculations'!S52</f>
        <v>3.7982866455250184</v>
      </c>
      <c r="AC27">
        <f>'BSi raw data and calculations'!T52</f>
        <v>8.1252774841437638</v>
      </c>
      <c r="AF27" s="182">
        <f>'PIC data'!AF28</f>
        <v>59.123709937460902</v>
      </c>
      <c r="AG27" s="182">
        <f t="shared" si="5"/>
        <v>7.0945923627258454</v>
      </c>
      <c r="AH27" s="182">
        <f t="shared" si="6"/>
        <v>11.608183592474351</v>
      </c>
      <c r="AI27" s="182">
        <f t="shared" si="7"/>
        <v>97.380771848304065</v>
      </c>
      <c r="AJ27" s="125"/>
      <c r="AK27" s="182">
        <f t="shared" si="8"/>
        <v>7.0879679661349675</v>
      </c>
    </row>
    <row r="28" spans="1:44">
      <c r="A28" s="127" t="s">
        <v>1735</v>
      </c>
      <c r="I28" s="182"/>
      <c r="J28" s="182"/>
      <c r="AG28" s="125"/>
      <c r="AH28" s="125"/>
      <c r="AI28" s="125"/>
      <c r="AJ28" s="125"/>
      <c r="AK28" s="125"/>
    </row>
    <row r="29" spans="1:44">
      <c r="AG29" s="125"/>
      <c r="AH29" s="125"/>
      <c r="AI29" s="125"/>
      <c r="AJ29" s="125"/>
      <c r="AK29" s="125"/>
    </row>
    <row r="30" spans="1:44" s="98" customFormat="1">
      <c r="A30" s="103" t="s">
        <v>166</v>
      </c>
      <c r="B30" s="117" t="s">
        <v>1714</v>
      </c>
      <c r="C30" s="116"/>
      <c r="E30" s="373"/>
      <c r="F30" s="114"/>
      <c r="G30" s="103"/>
      <c r="H30" s="113"/>
      <c r="I30" s="102" t="s">
        <v>152</v>
      </c>
      <c r="J30" s="99"/>
      <c r="K30" s="99"/>
      <c r="L30" s="99"/>
      <c r="M30" s="112"/>
      <c r="N30" s="112"/>
      <c r="O30" s="112"/>
      <c r="P30" s="112"/>
      <c r="Q30" s="111"/>
      <c r="R30" s="99"/>
      <c r="S30" s="99"/>
      <c r="T30" s="110"/>
      <c r="U30" s="110"/>
      <c r="V30" s="109"/>
      <c r="W30" s="108">
        <v>0</v>
      </c>
      <c r="X30" s="107"/>
      <c r="Y30" s="106"/>
      <c r="Z30" s="99"/>
      <c r="AA30" s="99"/>
      <c r="AB30" s="105"/>
      <c r="AC30" s="105"/>
      <c r="AD30" s="104"/>
      <c r="AE30" s="104"/>
      <c r="AG30" s="104"/>
      <c r="AH30" s="369"/>
      <c r="AI30" s="104" t="s">
        <v>1802</v>
      </c>
      <c r="AJ30" s="370"/>
      <c r="AK30" s="104"/>
      <c r="AL30" s="99"/>
      <c r="AM30" s="101"/>
      <c r="AN30" s="100"/>
      <c r="AO30" s="99"/>
      <c r="AP30" s="99"/>
      <c r="AQ30" s="99"/>
      <c r="AR30" s="99"/>
    </row>
    <row r="31" spans="1:44" s="51" customFormat="1">
      <c r="A31" s="51">
        <v>2020</v>
      </c>
      <c r="B31" s="51" t="s">
        <v>108</v>
      </c>
      <c r="C31" s="51" t="s">
        <v>1715</v>
      </c>
      <c r="D31" s="51">
        <f>'sample processing comments'!D30</f>
        <v>1</v>
      </c>
      <c r="E31" s="243">
        <f>'mass filt'!V31</f>
        <v>181.97142857142859</v>
      </c>
      <c r="F31" s="51">
        <v>0.5</v>
      </c>
      <c r="G31" s="51" t="str">
        <f>'sample processing comments'!H30</f>
        <v>IN2020_V09, UTC 29/08/20 UTC 03:37, ~10L + 10g Borate, -46˚ 897 142˚404</v>
      </c>
      <c r="H31" s="183">
        <f>U31-T31</f>
        <v>10</v>
      </c>
      <c r="I31" s="182">
        <f>E31/F31/H31</f>
        <v>36.394285714285715</v>
      </c>
      <c r="J31" s="182">
        <f>0.001*365.25*E31/F31/H31</f>
        <v>13.293012857142859</v>
      </c>
      <c r="L31" s="89">
        <v>1</v>
      </c>
      <c r="M31" s="182">
        <f>'CHN raw data'!C57</f>
        <v>13.865879058837891</v>
      </c>
      <c r="N31" s="182">
        <f>'CHN raw data'!D57</f>
        <v>0.78907561302185059</v>
      </c>
      <c r="O31" s="182">
        <f>'CHN raw data'!E57</f>
        <v>0.94305235147476196</v>
      </c>
      <c r="R31" s="182">
        <f>pH_Sal!D24</f>
        <v>40.29</v>
      </c>
      <c r="S31" s="182">
        <f>pH_Sal!K24</f>
        <v>8.5500000000000007</v>
      </c>
      <c r="T31" s="184">
        <f>'Traps and Logs'!M143</f>
        <v>44082</v>
      </c>
      <c r="U31" s="184">
        <f>'Traps and Logs'!M144</f>
        <v>44092</v>
      </c>
      <c r="V31" s="185">
        <f>AVERAGE(T31:U31)</f>
        <v>44087</v>
      </c>
      <c r="W31" s="183">
        <f t="shared" ref="W31:W51" si="10">H31+W30</f>
        <v>10</v>
      </c>
      <c r="X31" s="51">
        <v>0</v>
      </c>
      <c r="AB31">
        <f>'BSi raw data and calculations'!S53</f>
        <v>5.6127631104161644</v>
      </c>
      <c r="AC31">
        <f>'BSi raw data and calculations'!T53</f>
        <v>12.006797269665622</v>
      </c>
      <c r="AF31" s="182">
        <f>'PIC data'!AF29</f>
        <v>65.958253173509334</v>
      </c>
      <c r="AG31" s="182">
        <f>AF31*12.01/100.0869</f>
        <v>7.9147083246043897</v>
      </c>
      <c r="AH31" s="182">
        <f>M31-AG31</f>
        <v>5.951170734233501</v>
      </c>
      <c r="AI31" s="182">
        <f>AF31+(AC31*1.11)+(AH31*2.2)+3.7</f>
        <v>96.078373758151884</v>
      </c>
      <c r="AJ31" s="182"/>
      <c r="AK31" s="182">
        <f>(AH31/12.01)/(O31/14.01)</f>
        <v>7.3614223527936691</v>
      </c>
    </row>
    <row r="32" spans="1:44">
      <c r="A32" s="51">
        <v>2020</v>
      </c>
      <c r="B32" s="51" t="s">
        <v>108</v>
      </c>
      <c r="C32">
        <v>2</v>
      </c>
      <c r="D32" s="51">
        <f>'sample processing comments'!D31</f>
        <v>2</v>
      </c>
      <c r="E32" s="243">
        <f>'mass filt'!V32</f>
        <v>287.77142857142854</v>
      </c>
      <c r="F32" s="51">
        <v>0.5</v>
      </c>
      <c r="G32" s="51" t="str">
        <f>'sample processing comments'!H31</f>
        <v>IN2020_V09, UTC 29/08/20 UTC 03:37, ~10L + 10g Borate, -46˚ 897 142˚404</v>
      </c>
      <c r="H32" s="183">
        <f t="shared" ref="H32:H51" si="11">U32-T32</f>
        <v>10</v>
      </c>
      <c r="I32" s="182">
        <f t="shared" ref="I32:I51" si="12">E32/F32/H32</f>
        <v>57.554285714285712</v>
      </c>
      <c r="J32" s="182">
        <f t="shared" ref="J32:J51" si="13">0.001*365.25*E32/F32/H32</f>
        <v>21.021702857142856</v>
      </c>
      <c r="L32" s="89">
        <v>1</v>
      </c>
      <c r="M32" s="125">
        <f>AVERAGE('CHN raw data'!C58:C59)</f>
        <v>14.830008983612061</v>
      </c>
      <c r="N32" s="125">
        <f>AVERAGE('CHN raw data'!D58:D59)</f>
        <v>0.99988487362861633</v>
      </c>
      <c r="O32" s="125">
        <f>AVERAGE('CHN raw data'!E58:E59)</f>
        <v>1.0271389484405518</v>
      </c>
      <c r="R32" s="182">
        <f>pH_Sal!D25</f>
        <v>40.17</v>
      </c>
      <c r="S32" s="182">
        <f>pH_Sal!K25</f>
        <v>8.49</v>
      </c>
      <c r="T32" s="184">
        <f>'Traps and Logs'!M144</f>
        <v>44092</v>
      </c>
      <c r="U32" s="184">
        <f>'Traps and Logs'!M145</f>
        <v>44102</v>
      </c>
      <c r="V32" s="185">
        <f t="shared" ref="V32:V51" si="14">AVERAGE(T32:U32)</f>
        <v>44097</v>
      </c>
      <c r="W32" s="183">
        <f t="shared" si="10"/>
        <v>20</v>
      </c>
      <c r="X32" s="183">
        <f>X31+H32</f>
        <v>10</v>
      </c>
      <c r="AB32">
        <f>'BSi raw data and calculations'!S54</f>
        <v>5.5458758253437059</v>
      </c>
      <c r="AC32">
        <f>'BSi raw data and calculations'!T54</f>
        <v>11.863712294229382</v>
      </c>
      <c r="AF32" s="182">
        <f>'PIC data'!AF30</f>
        <v>62.901702023041452</v>
      </c>
      <c r="AG32" s="182">
        <f t="shared" ref="AG32:AG51" si="15">AF32*12.01/100.0869</f>
        <v>7.5479352572287466</v>
      </c>
      <c r="AH32" s="182">
        <f t="shared" ref="AH32:AH51" si="16">M32-AG32</f>
        <v>7.282073726383314</v>
      </c>
      <c r="AI32" s="182">
        <f t="shared" ref="AI32:AI51" si="17">AF32+(AC32*1.11)+(AH32*2.2)+3.7</f>
        <v>95.790984867679356</v>
      </c>
      <c r="AJ32" s="125"/>
      <c r="AK32" s="182">
        <f t="shared" ref="AK32:AK51" si="18">(AH32/12.01)/(O32/14.01)</f>
        <v>8.2702950138146321</v>
      </c>
    </row>
    <row r="33" spans="1:37">
      <c r="A33" s="51">
        <v>2020</v>
      </c>
      <c r="B33" s="51" t="s">
        <v>108</v>
      </c>
      <c r="C33">
        <v>3</v>
      </c>
      <c r="D33" s="51">
        <f>'sample processing comments'!D32</f>
        <v>1</v>
      </c>
      <c r="E33" s="243">
        <f>'mass filt'!V33</f>
        <v>263.81428571428575</v>
      </c>
      <c r="F33" s="51">
        <v>0.5</v>
      </c>
      <c r="G33" s="51" t="str">
        <f>'sample processing comments'!H32</f>
        <v>IN2020_V09, UTC 29/08/20 UTC 03:37, ~10L + 10g Borate, -46˚ 897 142˚404</v>
      </c>
      <c r="H33" s="183">
        <f t="shared" si="11"/>
        <v>10</v>
      </c>
      <c r="I33" s="182">
        <f t="shared" si="12"/>
        <v>52.76285714285715</v>
      </c>
      <c r="J33" s="182">
        <f t="shared" si="13"/>
        <v>19.271633571428573</v>
      </c>
      <c r="L33" s="89">
        <v>1</v>
      </c>
      <c r="M33" s="125">
        <f>'CHN raw data'!C60</f>
        <v>14.743440628051758</v>
      </c>
      <c r="N33" s="125">
        <f>'CHN raw data'!D60</f>
        <v>0.971019446849823</v>
      </c>
      <c r="O33" s="125">
        <f>'CHN raw data'!E60</f>
        <v>1.1036072969436646</v>
      </c>
      <c r="Q33" s="220" t="s">
        <v>1833</v>
      </c>
      <c r="R33" s="221">
        <f>AVERAGE(pH_Sal!D26,pH_Sal!G26)</f>
        <v>40.484999999999999</v>
      </c>
      <c r="S33" s="221">
        <f>AVERAGE(pH_Sal!K26,pH_Sal!N26)</f>
        <v>8.57</v>
      </c>
      <c r="T33" s="184">
        <f>'Traps and Logs'!M145</f>
        <v>44102</v>
      </c>
      <c r="U33" s="184">
        <f>'Traps and Logs'!M146</f>
        <v>44112</v>
      </c>
      <c r="V33" s="185">
        <f t="shared" si="14"/>
        <v>44107</v>
      </c>
      <c r="W33" s="183">
        <f t="shared" si="10"/>
        <v>30</v>
      </c>
      <c r="X33" s="183">
        <f t="shared" ref="X33:X51" si="19">X32+H33</f>
        <v>20</v>
      </c>
      <c r="AB33">
        <f>'BSi raw data and calculations'!S55</f>
        <v>4.9673688050988805</v>
      </c>
      <c r="AC33">
        <f>'BSi raw data and calculations'!T55</f>
        <v>10.626172712651897</v>
      </c>
      <c r="AF33" s="182">
        <f>'PIC data'!AF31</f>
        <v>64.882237259486274</v>
      </c>
      <c r="AG33" s="182">
        <f t="shared" si="15"/>
        <v>7.7855910162711615</v>
      </c>
      <c r="AH33" s="182">
        <f t="shared" si="16"/>
        <v>6.9578496117805964</v>
      </c>
      <c r="AI33" s="182">
        <f t="shared" si="17"/>
        <v>95.684558116447207</v>
      </c>
      <c r="AJ33" s="125"/>
      <c r="AK33" s="182">
        <f t="shared" si="18"/>
        <v>7.3545414866832397</v>
      </c>
    </row>
    <row r="34" spans="1:37">
      <c r="A34" s="51">
        <v>2020</v>
      </c>
      <c r="B34" s="51" t="s">
        <v>108</v>
      </c>
      <c r="C34">
        <v>4</v>
      </c>
      <c r="D34" s="51">
        <f>'sample processing comments'!D33</f>
        <v>2</v>
      </c>
      <c r="E34" s="243">
        <f>'mass filt'!V34</f>
        <v>373.52857142857147</v>
      </c>
      <c r="F34" s="51">
        <v>0.5</v>
      </c>
      <c r="G34" s="51" t="str">
        <f>'sample processing comments'!H33</f>
        <v>IN2020_V09, UTC 29/08/20 UTC 03:37, ~10L + 10g Borate, -46˚ 897 142˚404</v>
      </c>
      <c r="H34" s="183">
        <f t="shared" si="11"/>
        <v>10</v>
      </c>
      <c r="I34" s="182">
        <f t="shared" si="12"/>
        <v>74.705714285714294</v>
      </c>
      <c r="J34" s="182">
        <f t="shared" si="13"/>
        <v>27.286262142857147</v>
      </c>
      <c r="L34" s="89">
        <v>1</v>
      </c>
      <c r="M34" s="125">
        <f>'CHN raw data'!C61</f>
        <v>14.3856201171875</v>
      </c>
      <c r="N34" s="125">
        <f>'CHN raw data'!D61</f>
        <v>0.90449792146682739</v>
      </c>
      <c r="O34" s="125">
        <f>'CHN raw data'!E61</f>
        <v>0.97466748952865601</v>
      </c>
      <c r="R34" s="182">
        <f>pH_Sal!D27</f>
        <v>40.58</v>
      </c>
      <c r="S34" s="182">
        <f>pH_Sal!K27</f>
        <v>8.5399999999999991</v>
      </c>
      <c r="T34" s="184">
        <f>'Traps and Logs'!M146</f>
        <v>44112</v>
      </c>
      <c r="U34" s="184">
        <f>'Traps and Logs'!M147</f>
        <v>44122</v>
      </c>
      <c r="V34" s="185">
        <f t="shared" si="14"/>
        <v>44117</v>
      </c>
      <c r="W34" s="183">
        <f t="shared" si="10"/>
        <v>40</v>
      </c>
      <c r="X34" s="183">
        <f t="shared" si="19"/>
        <v>30</v>
      </c>
      <c r="AB34">
        <f>'BSi raw data and calculations'!S56</f>
        <v>4.6966578671178896</v>
      </c>
      <c r="AC34">
        <f>'BSi raw data and calculations'!T56</f>
        <v>10.047069107693627</v>
      </c>
      <c r="AF34" s="182">
        <f>'PIC data'!AF32</f>
        <v>67.813767177616327</v>
      </c>
      <c r="AG34" s="182">
        <f t="shared" si="15"/>
        <v>8.13736207039255</v>
      </c>
      <c r="AH34" s="182">
        <f t="shared" si="16"/>
        <v>6.24825804679495</v>
      </c>
      <c r="AI34" s="182">
        <f t="shared" si="17"/>
        <v>96.412181590105149</v>
      </c>
      <c r="AJ34" s="125"/>
      <c r="AK34" s="182">
        <f t="shared" si="18"/>
        <v>7.4782091074059611</v>
      </c>
    </row>
    <row r="35" spans="1:37">
      <c r="A35" s="51">
        <v>2020</v>
      </c>
      <c r="B35" s="51" t="s">
        <v>108</v>
      </c>
      <c r="C35">
        <v>5</v>
      </c>
      <c r="D35" s="51">
        <f>'sample processing comments'!D34</f>
        <v>2</v>
      </c>
      <c r="E35" s="243">
        <f>'mass filt'!V35</f>
        <v>455.4</v>
      </c>
      <c r="F35" s="51">
        <v>0.5</v>
      </c>
      <c r="G35" s="51" t="str">
        <f>'sample processing comments'!H34</f>
        <v>IN2020_V09, UTC 29/08/20 UTC 03:37, ~10L + 10g Borate, -46˚ 897 142˚404</v>
      </c>
      <c r="H35" s="183">
        <f t="shared" si="11"/>
        <v>10</v>
      </c>
      <c r="I35" s="182">
        <f t="shared" si="12"/>
        <v>91.08</v>
      </c>
      <c r="J35" s="182">
        <f t="shared" si="13"/>
        <v>33.266970000000001</v>
      </c>
      <c r="L35" s="89">
        <v>1</v>
      </c>
      <c r="M35" s="125">
        <f>'CHN raw data'!C62</f>
        <v>13.999913215637207</v>
      </c>
      <c r="N35" s="125">
        <f>'CHN raw data'!D62</f>
        <v>0.74862122535705566</v>
      </c>
      <c r="O35" s="125">
        <f>'CHN raw data'!E62</f>
        <v>0.81766867637634277</v>
      </c>
      <c r="R35" s="182">
        <f>pH_Sal!D28</f>
        <v>40.1</v>
      </c>
      <c r="S35" s="182">
        <f>pH_Sal!K28</f>
        <v>8.59</v>
      </c>
      <c r="T35" s="184">
        <f>'Traps and Logs'!M147</f>
        <v>44122</v>
      </c>
      <c r="U35" s="184">
        <f>'Traps and Logs'!M148</f>
        <v>44132</v>
      </c>
      <c r="V35" s="185">
        <f t="shared" si="14"/>
        <v>44127</v>
      </c>
      <c r="W35" s="183">
        <f t="shared" si="10"/>
        <v>50</v>
      </c>
      <c r="X35" s="183">
        <f t="shared" si="19"/>
        <v>40</v>
      </c>
      <c r="AB35" s="528">
        <f>AVERAGE('BSi raw data and calculations'!S57,'BSi raw data repeats'!S35)</f>
        <v>3.9837007392541857</v>
      </c>
      <c r="AC35" s="528">
        <f>AVERAGE('BSi raw data and calculations'!T57,'BSi raw data repeats'!T35)</f>
        <v>8.5219144685576378</v>
      </c>
      <c r="AF35" s="182">
        <f>'PIC data'!AF33</f>
        <v>68.788851256892656</v>
      </c>
      <c r="AG35" s="182">
        <f t="shared" si="15"/>
        <v>8.2543679901693494</v>
      </c>
      <c r="AH35" s="182">
        <f t="shared" si="16"/>
        <v>5.7455452254678576</v>
      </c>
      <c r="AI35" s="182">
        <f t="shared" si="17"/>
        <v>94.588375813020917</v>
      </c>
      <c r="AJ35" s="125"/>
      <c r="AK35" s="182">
        <f t="shared" si="18"/>
        <v>8.1968882532340785</v>
      </c>
    </row>
    <row r="36" spans="1:37">
      <c r="A36" s="51">
        <v>2020</v>
      </c>
      <c r="B36" s="51" t="s">
        <v>108</v>
      </c>
      <c r="C36">
        <v>6</v>
      </c>
      <c r="D36" s="51">
        <f>'sample processing comments'!D35</f>
        <v>2</v>
      </c>
      <c r="E36" s="243">
        <f>'mass filt'!V36</f>
        <v>372.59999999999997</v>
      </c>
      <c r="F36" s="51">
        <v>0.5</v>
      </c>
      <c r="G36" s="51" t="str">
        <f>'sample processing comments'!H35</f>
        <v>IN2020_V09, UTC 29/08/20 UTC 03:37, ~10L + 10g Borate, -46˚ 897 142˚404</v>
      </c>
      <c r="H36" s="183">
        <f t="shared" si="11"/>
        <v>10</v>
      </c>
      <c r="I36" s="182">
        <f t="shared" si="12"/>
        <v>74.52</v>
      </c>
      <c r="J36" s="182">
        <f t="shared" si="13"/>
        <v>27.218430000000001</v>
      </c>
      <c r="L36" s="89">
        <v>1</v>
      </c>
      <c r="M36" s="125">
        <f>'CHN raw data'!C63</f>
        <v>13.45853328704834</v>
      </c>
      <c r="N36" s="125">
        <f>'CHN raw data'!D63</f>
        <v>0.66383230686187744</v>
      </c>
      <c r="O36" s="125">
        <f>'CHN raw data'!E63</f>
        <v>0.70571339130401611</v>
      </c>
      <c r="R36" s="182">
        <f>pH_Sal!D29</f>
        <v>40.590000000000003</v>
      </c>
      <c r="S36" s="182">
        <f>pH_Sal!K29</f>
        <v>8.58</v>
      </c>
      <c r="T36" s="184">
        <f>'Traps and Logs'!M148</f>
        <v>44132</v>
      </c>
      <c r="U36" s="184">
        <f>'Traps and Logs'!M149</f>
        <v>44142</v>
      </c>
      <c r="V36" s="185">
        <f t="shared" si="14"/>
        <v>44137</v>
      </c>
      <c r="W36" s="183">
        <f t="shared" si="10"/>
        <v>60</v>
      </c>
      <c r="X36" s="183">
        <f t="shared" si="19"/>
        <v>50</v>
      </c>
      <c r="AB36">
        <f>'BSi raw data and calculations'!S58</f>
        <v>3.8628710930769494</v>
      </c>
      <c r="AC36">
        <f>'BSi raw data and calculations'!T58</f>
        <v>8.2634362400496215</v>
      </c>
      <c r="AF36" s="182">
        <f>'PIC data'!AF34</f>
        <v>71.438535910152382</v>
      </c>
      <c r="AG36" s="182">
        <f t="shared" si="15"/>
        <v>8.5723188177566705</v>
      </c>
      <c r="AH36" s="182">
        <f t="shared" si="16"/>
        <v>4.8862144692916694</v>
      </c>
      <c r="AI36" s="182">
        <f t="shared" si="17"/>
        <v>95.060621969049137</v>
      </c>
      <c r="AJ36" s="125"/>
      <c r="AK36" s="182">
        <f t="shared" si="18"/>
        <v>8.0767993662970667</v>
      </c>
    </row>
    <row r="37" spans="1:37">
      <c r="A37" s="51">
        <v>2020</v>
      </c>
      <c r="B37" s="51" t="s">
        <v>108</v>
      </c>
      <c r="C37">
        <v>7</v>
      </c>
      <c r="D37" s="51">
        <f>'sample processing comments'!D36</f>
        <v>2</v>
      </c>
      <c r="E37" s="243">
        <f>'mass filt'!V37</f>
        <v>414.2714285714286</v>
      </c>
      <c r="F37" s="51">
        <v>0.5</v>
      </c>
      <c r="G37" s="51" t="str">
        <f>'sample processing comments'!H36</f>
        <v>IN2020_V09, UTC 29/08/20 UTC 03:37, ~10L + 10g Borate, -46˚ 897 142˚404</v>
      </c>
      <c r="H37" s="183">
        <f t="shared" si="11"/>
        <v>10</v>
      </c>
      <c r="I37" s="182">
        <f t="shared" si="12"/>
        <v>82.854285714285723</v>
      </c>
      <c r="J37" s="182">
        <f t="shared" si="13"/>
        <v>30.262527857142864</v>
      </c>
      <c r="L37" s="89">
        <v>1</v>
      </c>
      <c r="M37" s="125">
        <f>'CHN raw data'!C64</f>
        <v>13.810207366943359</v>
      </c>
      <c r="N37" s="125">
        <f>'CHN raw data'!D64</f>
        <v>0.74896252155303955</v>
      </c>
      <c r="O37" s="125">
        <f>'CHN raw data'!E64</f>
        <v>0.73953312635421753</v>
      </c>
      <c r="R37" s="182">
        <f>pH_Sal!D30</f>
        <v>40.4</v>
      </c>
      <c r="S37" s="182">
        <f>pH_Sal!K30</f>
        <v>8.57</v>
      </c>
      <c r="T37" s="184">
        <f>'Traps and Logs'!M149</f>
        <v>44142</v>
      </c>
      <c r="U37" s="184">
        <f>'Traps and Logs'!M150</f>
        <v>44152</v>
      </c>
      <c r="V37" s="185">
        <f t="shared" si="14"/>
        <v>44147</v>
      </c>
      <c r="W37" s="183">
        <f t="shared" si="10"/>
        <v>70</v>
      </c>
      <c r="X37" s="183">
        <f t="shared" si="19"/>
        <v>60</v>
      </c>
      <c r="AB37">
        <f>'BSi raw data and calculations'!S59</f>
        <v>3.6777939637434365</v>
      </c>
      <c r="AC37">
        <f>'BSi raw data and calculations'!T59</f>
        <v>7.8675200883354623</v>
      </c>
      <c r="AF37" s="182">
        <f>'PIC data'!AF35</f>
        <v>71.687960823937473</v>
      </c>
      <c r="AG37" s="182">
        <f t="shared" si="15"/>
        <v>8.6022487407991353</v>
      </c>
      <c r="AH37" s="182">
        <f t="shared" si="16"/>
        <v>5.2079586261442241</v>
      </c>
      <c r="AI37" s="182">
        <f t="shared" si="17"/>
        <v>95.578417099507135</v>
      </c>
      <c r="AJ37" s="125"/>
      <c r="AK37" s="182">
        <f t="shared" si="18"/>
        <v>8.2149518239103827</v>
      </c>
    </row>
    <row r="38" spans="1:37">
      <c r="A38" s="51">
        <v>2020</v>
      </c>
      <c r="B38" s="51" t="s">
        <v>108</v>
      </c>
      <c r="C38">
        <v>8</v>
      </c>
      <c r="D38" s="51">
        <f>'sample processing comments'!D37</f>
        <v>2</v>
      </c>
      <c r="E38" s="243">
        <f>'mass filt'!V38</f>
        <v>332.6571428571429</v>
      </c>
      <c r="F38" s="51">
        <v>0.5</v>
      </c>
      <c r="G38" s="51" t="str">
        <f>'sample processing comments'!H37</f>
        <v>IN2020_V09, UTC 29/08/20 UTC 03:37, ~10L + 10g Borate, -46˚ 897 142˚404</v>
      </c>
      <c r="H38" s="183">
        <f t="shared" si="11"/>
        <v>10</v>
      </c>
      <c r="I38" s="182">
        <f t="shared" si="12"/>
        <v>66.531428571428577</v>
      </c>
      <c r="J38" s="182">
        <f t="shared" si="13"/>
        <v>24.300604285714293</v>
      </c>
      <c r="L38" s="89">
        <v>1</v>
      </c>
      <c r="M38" s="125">
        <f>'CHN raw data'!C65</f>
        <v>13.826024055480957</v>
      </c>
      <c r="N38" s="125">
        <f>'CHN raw data'!D65</f>
        <v>0.72539544105529785</v>
      </c>
      <c r="O38" s="125">
        <f>'CHN raw data'!E65</f>
        <v>0.75847733020782471</v>
      </c>
      <c r="R38" s="182">
        <f>pH_Sal!D31</f>
        <v>40.43</v>
      </c>
      <c r="S38" s="182">
        <f>pH_Sal!K31</f>
        <v>8.59</v>
      </c>
      <c r="T38" s="184">
        <f>'Traps and Logs'!M150</f>
        <v>44152</v>
      </c>
      <c r="U38" s="184">
        <f>'Traps and Logs'!M151</f>
        <v>44162</v>
      </c>
      <c r="V38" s="185">
        <f t="shared" si="14"/>
        <v>44157</v>
      </c>
      <c r="W38" s="183">
        <f t="shared" si="10"/>
        <v>80</v>
      </c>
      <c r="X38" s="183">
        <f t="shared" si="19"/>
        <v>70</v>
      </c>
      <c r="AB38">
        <f>'BSi raw data and calculations'!S60</f>
        <v>3.5494691488896661</v>
      </c>
      <c r="AC38">
        <f>'BSi raw data and calculations'!T60</f>
        <v>7.5930082291484542</v>
      </c>
      <c r="AF38" s="182">
        <f>'PIC data'!AF36</f>
        <v>69.964595670957223</v>
      </c>
      <c r="AG38" s="182">
        <f t="shared" si="15"/>
        <v>8.3954522920401793</v>
      </c>
      <c r="AH38" s="182">
        <f t="shared" si="16"/>
        <v>5.4305717634407777</v>
      </c>
      <c r="AI38" s="182">
        <f t="shared" si="17"/>
        <v>94.040092684881714</v>
      </c>
      <c r="AJ38" s="125"/>
      <c r="AK38" s="182">
        <f t="shared" si="18"/>
        <v>8.3521460523396112</v>
      </c>
    </row>
    <row r="39" spans="1:37">
      <c r="A39" s="51">
        <v>2020</v>
      </c>
      <c r="B39" s="51" t="s">
        <v>108</v>
      </c>
      <c r="C39">
        <v>9</v>
      </c>
      <c r="D39" s="51">
        <f>'sample processing comments'!D38</f>
        <v>3</v>
      </c>
      <c r="E39" s="243">
        <f>'mass filt'!V39</f>
        <v>462.40000000000003</v>
      </c>
      <c r="F39" s="51">
        <v>0.5</v>
      </c>
      <c r="G39" s="51" t="str">
        <f>'sample processing comments'!H38</f>
        <v>IN2020_V09, UTC 29/08/20 UTC 03:37, ~10L + 10g Borate, -46˚ 897 142˚404</v>
      </c>
      <c r="H39" s="183">
        <f t="shared" si="11"/>
        <v>10</v>
      </c>
      <c r="I39" s="182">
        <f t="shared" si="12"/>
        <v>92.48</v>
      </c>
      <c r="J39" s="182">
        <f t="shared" si="13"/>
        <v>33.778320000000001</v>
      </c>
      <c r="L39" s="89">
        <v>1</v>
      </c>
      <c r="M39" s="125">
        <f>'CHN raw data'!C67</f>
        <v>13.597410202026367</v>
      </c>
      <c r="N39" s="125">
        <f>'CHN raw data'!D67</f>
        <v>0.75607460737228394</v>
      </c>
      <c r="O39" s="125">
        <f>'CHN raw data'!E67</f>
        <v>0.74714404344558716</v>
      </c>
      <c r="R39" s="182">
        <f>pH_Sal!D32</f>
        <v>40.14</v>
      </c>
      <c r="S39" s="182">
        <f>pH_Sal!K32</f>
        <v>8.58</v>
      </c>
      <c r="T39" s="184">
        <f>'Traps and Logs'!M151</f>
        <v>44162</v>
      </c>
      <c r="U39" s="184">
        <f>'Traps and Logs'!M152</f>
        <v>44172</v>
      </c>
      <c r="V39" s="185">
        <f t="shared" si="14"/>
        <v>44167</v>
      </c>
      <c r="W39" s="183">
        <f t="shared" si="10"/>
        <v>90</v>
      </c>
      <c r="X39" s="183">
        <f t="shared" si="19"/>
        <v>80</v>
      </c>
      <c r="AB39" s="528">
        <f>AVERAGE('BSi raw data and calculations'!S61,'BSi raw data repeats'!S36)</f>
        <v>3.9647975997547364</v>
      </c>
      <c r="AC39" s="528">
        <f>AVERAGE('BSi raw data and calculations'!T61,'BSi raw data repeats'!T36)</f>
        <v>8.4814769586778969</v>
      </c>
      <c r="AF39" s="182">
        <f>'PIC data'!AF37</f>
        <v>68.095542501617928</v>
      </c>
      <c r="AG39" s="182">
        <f t="shared" si="15"/>
        <v>8.1711739043214564</v>
      </c>
      <c r="AH39" s="182">
        <f t="shared" si="16"/>
        <v>5.4262362977049108</v>
      </c>
      <c r="AI39" s="182">
        <f t="shared" si="17"/>
        <v>93.147701780701198</v>
      </c>
      <c r="AJ39" s="125"/>
      <c r="AK39" s="182">
        <f t="shared" si="18"/>
        <v>8.4720691453032995</v>
      </c>
    </row>
    <row r="40" spans="1:37">
      <c r="A40" s="51">
        <v>2020</v>
      </c>
      <c r="B40" s="51" t="s">
        <v>108</v>
      </c>
      <c r="C40">
        <v>10</v>
      </c>
      <c r="D40" s="51">
        <f>'sample processing comments'!D39</f>
        <v>4</v>
      </c>
      <c r="E40" s="243">
        <f>'mass filt'!V40</f>
        <v>357.8142857142858</v>
      </c>
      <c r="F40" s="51">
        <v>0.5</v>
      </c>
      <c r="G40" s="51" t="str">
        <f>'sample processing comments'!H39</f>
        <v>IN2020_V09, UTC 29/08/20 UTC 03:37, ~10L + 10g Borate, -46˚ 897 142˚404</v>
      </c>
      <c r="H40" s="183">
        <f t="shared" si="11"/>
        <v>10</v>
      </c>
      <c r="I40" s="182">
        <f t="shared" si="12"/>
        <v>71.562857142857155</v>
      </c>
      <c r="J40" s="182">
        <f t="shared" si="13"/>
        <v>26.138333571428582</v>
      </c>
      <c r="L40" s="89">
        <v>1</v>
      </c>
      <c r="M40" s="125">
        <f>'CHN raw data'!C69</f>
        <v>13.552042961120605</v>
      </c>
      <c r="N40" s="125">
        <f>'CHN raw data'!D69</f>
        <v>0.80666041374206543</v>
      </c>
      <c r="O40" s="125">
        <f>'CHN raw data'!E69</f>
        <v>0.85094332695007324</v>
      </c>
      <c r="R40" s="182">
        <f>pH_Sal!D33</f>
        <v>40.130000000000003</v>
      </c>
      <c r="S40" s="182">
        <f>pH_Sal!K33</f>
        <v>8.5500000000000007</v>
      </c>
      <c r="T40" s="184">
        <f>'Traps and Logs'!M152</f>
        <v>44172</v>
      </c>
      <c r="U40" s="184">
        <f>'Traps and Logs'!M153</f>
        <v>44182</v>
      </c>
      <c r="V40" s="185">
        <f t="shared" si="14"/>
        <v>44177</v>
      </c>
      <c r="W40" s="183">
        <f t="shared" si="10"/>
        <v>100</v>
      </c>
      <c r="X40" s="183">
        <f t="shared" si="19"/>
        <v>90</v>
      </c>
      <c r="AB40">
        <f>'BSi raw data and calculations'!S62</f>
        <v>6.10953162858093</v>
      </c>
      <c r="AC40">
        <f>'BSi raw data and calculations'!T62</f>
        <v>13.069482220057962</v>
      </c>
      <c r="AF40" s="182">
        <f>'PIC data'!AF38</f>
        <v>65.52664917410354</v>
      </c>
      <c r="AG40" s="182">
        <f t="shared" si="15"/>
        <v>7.862917690336932</v>
      </c>
      <c r="AH40" s="182">
        <f t="shared" si="16"/>
        <v>5.6891252707836735</v>
      </c>
      <c r="AI40" s="182">
        <f t="shared" si="17"/>
        <v>96.249850034091978</v>
      </c>
      <c r="AJ40" s="125"/>
      <c r="AK40" s="182">
        <f t="shared" si="18"/>
        <v>7.7990191677375558</v>
      </c>
    </row>
    <row r="41" spans="1:37">
      <c r="A41" s="51">
        <v>2020</v>
      </c>
      <c r="B41" s="51" t="s">
        <v>108</v>
      </c>
      <c r="C41">
        <v>11</v>
      </c>
      <c r="D41" s="51">
        <f>'sample processing comments'!D40</f>
        <v>25</v>
      </c>
      <c r="E41" s="371">
        <f>'mass filt'!V41</f>
        <v>1260.0142857142857</v>
      </c>
      <c r="F41" s="51">
        <v>0.5</v>
      </c>
      <c r="G41" s="51" t="str">
        <f>'sample processing comments'!H40</f>
        <v>IN2020_V09, UTC 29/08/20 UTC 03:37, ~10L + 10g Borate, -46˚ 897 142˚404</v>
      </c>
      <c r="H41" s="183">
        <f t="shared" si="11"/>
        <v>10</v>
      </c>
      <c r="I41" s="182">
        <f t="shared" si="12"/>
        <v>252.00285714285715</v>
      </c>
      <c r="J41" s="182">
        <f t="shared" si="13"/>
        <v>92.044043571428574</v>
      </c>
      <c r="L41" s="89">
        <v>1</v>
      </c>
      <c r="M41" s="125">
        <f>'CHN raw data'!C70</f>
        <v>13.333328247070313</v>
      </c>
      <c r="N41" s="125">
        <f>'CHN raw data'!D70</f>
        <v>1.1699302196502686</v>
      </c>
      <c r="O41" s="125">
        <f>'CHN raw data'!E70</f>
        <v>0.94212967157363892</v>
      </c>
      <c r="R41" s="182">
        <f>pH_Sal!D34</f>
        <v>39.15</v>
      </c>
      <c r="S41" s="182">
        <f>pH_Sal!K34</f>
        <v>8.44</v>
      </c>
      <c r="T41" s="184">
        <f>'Traps and Logs'!M153</f>
        <v>44182</v>
      </c>
      <c r="U41" s="184">
        <f>'Traps and Logs'!M154</f>
        <v>44192</v>
      </c>
      <c r="V41" s="185">
        <f t="shared" si="14"/>
        <v>44187</v>
      </c>
      <c r="W41" s="183">
        <f t="shared" si="10"/>
        <v>110</v>
      </c>
      <c r="X41" s="183">
        <f t="shared" si="19"/>
        <v>100</v>
      </c>
      <c r="AB41">
        <f>AVERAGE('BSi raw data and calculations'!S63:S64)</f>
        <v>10.82106500146045</v>
      </c>
      <c r="AC41">
        <f>AVERAGE('BSi raw data and calculations'!T63:T64)</f>
        <v>23.148372941892436</v>
      </c>
      <c r="AF41" s="182">
        <f>'PIC data'!AF39</f>
        <v>53.2275104760839</v>
      </c>
      <c r="AG41" s="182">
        <f t="shared" si="15"/>
        <v>6.3870736411834876</v>
      </c>
      <c r="AH41" s="182">
        <f t="shared" si="16"/>
        <v>6.9462546058868249</v>
      </c>
      <c r="AI41" s="182">
        <f t="shared" si="17"/>
        <v>97.903964574535536</v>
      </c>
      <c r="AJ41" s="125"/>
      <c r="AK41" s="182">
        <f t="shared" si="18"/>
        <v>8.6007266272004959</v>
      </c>
    </row>
    <row r="42" spans="1:37">
      <c r="A42" s="51">
        <v>2020</v>
      </c>
      <c r="B42" s="51" t="s">
        <v>108</v>
      </c>
      <c r="C42">
        <v>12</v>
      </c>
      <c r="D42" s="51">
        <f>'sample processing comments'!D41</f>
        <v>10</v>
      </c>
      <c r="E42" s="371">
        <f>'mass filt'!V43</f>
        <v>724.65714285714284</v>
      </c>
      <c r="F42" s="51">
        <v>0.5</v>
      </c>
      <c r="G42" s="51" t="str">
        <f>'sample processing comments'!H41</f>
        <v>IN2020_V09, UTC 29/08/20 UTC 03:37, ~10L + 10g Borate, -46˚ 897 142˚404</v>
      </c>
      <c r="H42" s="183">
        <f t="shared" si="11"/>
        <v>10</v>
      </c>
      <c r="I42" s="182">
        <f t="shared" si="12"/>
        <v>144.93142857142857</v>
      </c>
      <c r="J42" s="182">
        <f t="shared" si="13"/>
        <v>52.93620428571429</v>
      </c>
      <c r="L42" s="89">
        <v>1</v>
      </c>
      <c r="M42" s="125">
        <f>'CHN raw data'!C71</f>
        <v>13.47187328338623</v>
      </c>
      <c r="N42" s="125">
        <f>'CHN raw data'!D71</f>
        <v>0.86228984594345093</v>
      </c>
      <c r="O42" s="125">
        <f>'CHN raw data'!E71</f>
        <v>0.82743889093399048</v>
      </c>
      <c r="Q42" s="220" t="s">
        <v>1833</v>
      </c>
      <c r="R42" s="221">
        <f>AVERAGE(pH_Sal!D35,pH_Sal!G35)</f>
        <v>40.01</v>
      </c>
      <c r="S42" s="221">
        <f>AVERAGE(pH_Sal!K35,pH_Sal!N35)</f>
        <v>8.5350000000000001</v>
      </c>
      <c r="T42" s="184">
        <f>'Traps and Logs'!M154</f>
        <v>44192</v>
      </c>
      <c r="U42" s="184">
        <f>'Traps and Logs'!M155</f>
        <v>44202</v>
      </c>
      <c r="V42" s="185">
        <f t="shared" si="14"/>
        <v>44197</v>
      </c>
      <c r="W42" s="183">
        <f t="shared" si="10"/>
        <v>120</v>
      </c>
      <c r="X42" s="183">
        <f t="shared" si="19"/>
        <v>110</v>
      </c>
      <c r="AB42">
        <f>AVERAGE('BSi raw data and calculations'!S65:S66)</f>
        <v>8.6442440349600247</v>
      </c>
      <c r="AC42">
        <f>AVERAGE('BSi raw data and calculations'!T65:T66)</f>
        <v>18.491727449652824</v>
      </c>
      <c r="AF42" s="182">
        <f>'PIC data'!AF40</f>
        <v>61.949250762155472</v>
      </c>
      <c r="AG42" s="182">
        <f t="shared" si="15"/>
        <v>7.4336451788744293</v>
      </c>
      <c r="AH42" s="182">
        <f t="shared" si="16"/>
        <v>6.0382281045118011</v>
      </c>
      <c r="AI42" s="182">
        <f t="shared" si="17"/>
        <v>99.459170061196076</v>
      </c>
      <c r="AJ42" s="125"/>
      <c r="AK42" s="182">
        <f t="shared" si="18"/>
        <v>8.5127271487175999</v>
      </c>
    </row>
    <row r="43" spans="1:37" s="52" customFormat="1">
      <c r="A43" s="89">
        <v>2020</v>
      </c>
      <c r="B43" s="89" t="s">
        <v>108</v>
      </c>
      <c r="C43" s="52">
        <v>13</v>
      </c>
      <c r="D43" s="89">
        <f>'sample processing comments'!D42</f>
        <v>15</v>
      </c>
      <c r="E43" s="496">
        <f>'mass filt'!V45</f>
        <v>677.48571428571427</v>
      </c>
      <c r="F43" s="89">
        <v>0.5</v>
      </c>
      <c r="G43" s="89" t="str">
        <f>'sample processing comments'!H42</f>
        <v>IN2020_V09, UTC 29/08/20 UTC 03:37, ~10L + 10g Borate, -46˚ 897 142˚404</v>
      </c>
      <c r="H43" s="497">
        <f t="shared" si="11"/>
        <v>10</v>
      </c>
      <c r="I43" s="244">
        <f t="shared" si="12"/>
        <v>135.49714285714285</v>
      </c>
      <c r="J43" s="244">
        <f t="shared" si="13"/>
        <v>49.49033142857143</v>
      </c>
      <c r="L43" s="89">
        <v>1</v>
      </c>
      <c r="M43" s="224">
        <f>AVERAGE('CHN raw data'!C72,'CHN raw data'!C84)</f>
        <v>13.004962921142578</v>
      </c>
      <c r="N43" s="224">
        <f>AVERAGE('CHN raw data'!D72,'CHN raw data'!D84)</f>
        <v>1.0029686987400055</v>
      </c>
      <c r="O43" s="224">
        <f>AVERAGE('CHN raw data'!E72,'CHN raw data'!E84)</f>
        <v>0.8769136369228363</v>
      </c>
      <c r="R43" s="244">
        <f>pH_Sal!D36</f>
        <v>39.93</v>
      </c>
      <c r="S43" s="244">
        <f>pH_Sal!K36</f>
        <v>8.57</v>
      </c>
      <c r="T43" s="498">
        <f>'Traps and Logs'!M155</f>
        <v>44202</v>
      </c>
      <c r="U43" s="498">
        <f>'Traps and Logs'!M156</f>
        <v>44212</v>
      </c>
      <c r="V43" s="185">
        <f t="shared" si="14"/>
        <v>44207</v>
      </c>
      <c r="W43" s="497">
        <f t="shared" si="10"/>
        <v>130</v>
      </c>
      <c r="X43" s="497">
        <f t="shared" si="19"/>
        <v>120</v>
      </c>
      <c r="AB43" s="52">
        <f>'BSi raw data and calculations'!S67</f>
        <v>9.6224117676464722</v>
      </c>
      <c r="AC43" s="52">
        <f>'BSi raw data and calculations'!T67</f>
        <v>20.584219406118777</v>
      </c>
      <c r="AF43" s="244">
        <f>'PIC data'!AF41</f>
        <v>58.118808149668325</v>
      </c>
      <c r="AG43" s="244">
        <f t="shared" si="15"/>
        <v>6.9740084454360813</v>
      </c>
      <c r="AH43" s="244">
        <f t="shared" si="16"/>
        <v>6.0309544757064968</v>
      </c>
      <c r="AI43" s="244">
        <f t="shared" si="17"/>
        <v>97.935391537014468</v>
      </c>
      <c r="AJ43" s="224"/>
      <c r="AK43" s="244">
        <f t="shared" si="18"/>
        <v>8.0227702291848875</v>
      </c>
    </row>
    <row r="44" spans="1:37">
      <c r="A44" s="51">
        <v>2020</v>
      </c>
      <c r="B44" s="51" t="s">
        <v>108</v>
      </c>
      <c r="C44">
        <v>14</v>
      </c>
      <c r="D44" s="51">
        <f>'sample processing comments'!D43</f>
        <v>14</v>
      </c>
      <c r="E44" s="371">
        <f>'mass filt'!V47</f>
        <v>601.67999999999995</v>
      </c>
      <c r="F44" s="51">
        <v>0.5</v>
      </c>
      <c r="G44" s="51" t="str">
        <f>'sample processing comments'!H43</f>
        <v>IN2020_V09, UTC 29/08/20 UTC 03:37, ~10L + 10g Borate, -46˚ 897 142˚404</v>
      </c>
      <c r="H44" s="183">
        <f t="shared" si="11"/>
        <v>10</v>
      </c>
      <c r="I44" s="182">
        <f t="shared" si="12"/>
        <v>120.33599999999998</v>
      </c>
      <c r="J44" s="182">
        <f t="shared" si="13"/>
        <v>43.952724000000003</v>
      </c>
      <c r="L44" s="89">
        <v>1</v>
      </c>
      <c r="M44" s="125">
        <f>'CHN raw data'!C73</f>
        <v>13.06114387512207</v>
      </c>
      <c r="N44" s="125">
        <f>'CHN raw data'!D73</f>
        <v>0.79497498273849487</v>
      </c>
      <c r="O44" s="125">
        <f>'CHN raw data'!E73</f>
        <v>0.77106380462646484</v>
      </c>
      <c r="R44" s="182">
        <f>pH_Sal!D37</f>
        <v>40.159999999999997</v>
      </c>
      <c r="S44" s="182">
        <f>pH_Sal!K37</f>
        <v>8.59</v>
      </c>
      <c r="T44" s="184">
        <f>'Traps and Logs'!M156</f>
        <v>44212</v>
      </c>
      <c r="U44" s="184">
        <f>'Traps and Logs'!M157</f>
        <v>44222</v>
      </c>
      <c r="V44" s="185">
        <f t="shared" si="14"/>
        <v>44217</v>
      </c>
      <c r="W44" s="183">
        <f t="shared" si="10"/>
        <v>140</v>
      </c>
      <c r="X44" s="183">
        <f t="shared" si="19"/>
        <v>130</v>
      </c>
      <c r="AB44" s="52">
        <f>'BSi raw data and calculations'!S68</f>
        <v>7.5553756533870153</v>
      </c>
      <c r="AC44" s="52">
        <f>'BSi raw data and calculations'!T68</f>
        <v>16.162425169527442</v>
      </c>
      <c r="AF44" s="182">
        <f>'PIC data'!AF42</f>
        <v>63.718579220613371</v>
      </c>
      <c r="AG44" s="182">
        <f t="shared" si="15"/>
        <v>7.6459570277385618</v>
      </c>
      <c r="AH44" s="182">
        <f t="shared" si="16"/>
        <v>5.4151868473835085</v>
      </c>
      <c r="AI44" s="182">
        <f t="shared" si="17"/>
        <v>97.272282223032548</v>
      </c>
      <c r="AJ44" s="125"/>
      <c r="AK44" s="182">
        <f t="shared" si="18"/>
        <v>8.1925340907758049</v>
      </c>
    </row>
    <row r="45" spans="1:37">
      <c r="A45" s="51">
        <v>2020</v>
      </c>
      <c r="B45" s="51" t="s">
        <v>108</v>
      </c>
      <c r="C45">
        <v>15</v>
      </c>
      <c r="D45" s="51">
        <f>'sample processing comments'!D44</f>
        <v>4</v>
      </c>
      <c r="E45" s="371">
        <f>'mass filt'!V49</f>
        <v>404.14285714285711</v>
      </c>
      <c r="F45" s="51">
        <v>0.5</v>
      </c>
      <c r="G45" s="51" t="str">
        <f>'sample processing comments'!H44</f>
        <v>IN2020_V09, UTC 29/08/20 UTC 03:37, ~10L + 10g Borate, -46˚ 897 142˚404</v>
      </c>
      <c r="H45" s="183">
        <f t="shared" si="11"/>
        <v>10</v>
      </c>
      <c r="I45" s="182">
        <f t="shared" si="12"/>
        <v>80.828571428571422</v>
      </c>
      <c r="J45" s="182">
        <f t="shared" si="13"/>
        <v>29.522635714285713</v>
      </c>
      <c r="L45" s="89">
        <v>1</v>
      </c>
      <c r="M45" s="125">
        <f>'CHN raw data'!C76</f>
        <v>13.275106430053711</v>
      </c>
      <c r="N45" s="125">
        <f>'CHN raw data'!D76</f>
        <v>0.64448803663253784</v>
      </c>
      <c r="O45" s="125">
        <f>'CHN raw data'!E76</f>
        <v>0.69120252132415771</v>
      </c>
      <c r="R45" s="182">
        <f>pH_Sal!D38</f>
        <v>38.700000000000003</v>
      </c>
      <c r="S45" s="182">
        <f>pH_Sal!K38</f>
        <v>8.5</v>
      </c>
      <c r="T45" s="184">
        <f>'Traps and Logs'!M157</f>
        <v>44222</v>
      </c>
      <c r="U45" s="184">
        <f>'Traps and Logs'!M158</f>
        <v>44232</v>
      </c>
      <c r="V45" s="185">
        <f t="shared" si="14"/>
        <v>44227</v>
      </c>
      <c r="W45" s="183">
        <f t="shared" si="10"/>
        <v>150</v>
      </c>
      <c r="X45" s="183">
        <f t="shared" si="19"/>
        <v>140</v>
      </c>
      <c r="AB45" s="52">
        <f>'BSi raw data and calculations'!S69</f>
        <v>5.1202767913001876</v>
      </c>
      <c r="AC45" s="52">
        <f>'BSi raw data and calculations'!T69</f>
        <v>10.953272779965408</v>
      </c>
      <c r="AF45" s="182">
        <f>'PIC data'!AF43</f>
        <v>72.744007092626234</v>
      </c>
      <c r="AG45" s="182">
        <f t="shared" si="15"/>
        <v>8.7289697770881212</v>
      </c>
      <c r="AH45" s="182">
        <f t="shared" si="16"/>
        <v>4.5461366529655898</v>
      </c>
      <c r="AI45" s="182">
        <f t="shared" si="17"/>
        <v>98.603640514912144</v>
      </c>
      <c r="AJ45" s="125"/>
      <c r="AK45" s="182">
        <f t="shared" si="18"/>
        <v>7.6724187909987256</v>
      </c>
    </row>
    <row r="46" spans="1:37">
      <c r="A46" s="51">
        <v>2020</v>
      </c>
      <c r="B46" s="51" t="s">
        <v>108</v>
      </c>
      <c r="C46">
        <v>16</v>
      </c>
      <c r="D46" s="51">
        <f>'sample processing comments'!D45</f>
        <v>3</v>
      </c>
      <c r="E46" s="371">
        <f>'mass filt'!V50</f>
        <v>346.71428571428572</v>
      </c>
      <c r="F46" s="51">
        <v>0.5</v>
      </c>
      <c r="G46" s="51" t="str">
        <f>'sample processing comments'!H45</f>
        <v>IN2020_V09, UTC 29/08/20 UTC 03:37, ~10L + 10g Borate, -46˚ 897 142˚404</v>
      </c>
      <c r="H46" s="183">
        <f t="shared" si="11"/>
        <v>10</v>
      </c>
      <c r="I46" s="182">
        <f t="shared" si="12"/>
        <v>69.342857142857142</v>
      </c>
      <c r="J46" s="182">
        <f t="shared" si="13"/>
        <v>25.327478571428575</v>
      </c>
      <c r="L46" s="89">
        <v>1</v>
      </c>
      <c r="M46" s="125">
        <f>'CHN raw data'!C77</f>
        <v>13.321050643920898</v>
      </c>
      <c r="N46" s="125">
        <f>'CHN raw data'!D77</f>
        <v>0.62419801950454712</v>
      </c>
      <c r="O46" s="125">
        <f>'CHN raw data'!E77</f>
        <v>0.71226668357849121</v>
      </c>
      <c r="R46" s="182">
        <f>pH_Sal!D39</f>
        <v>39.81</v>
      </c>
      <c r="S46" s="182">
        <f>pH_Sal!K39</f>
        <v>8.6</v>
      </c>
      <c r="T46" s="184">
        <f>'Traps and Logs'!M158</f>
        <v>44232</v>
      </c>
      <c r="U46" s="184">
        <f>'Traps and Logs'!M159</f>
        <v>44242</v>
      </c>
      <c r="V46" s="185">
        <f t="shared" si="14"/>
        <v>44237</v>
      </c>
      <c r="W46" s="183">
        <f t="shared" si="10"/>
        <v>160</v>
      </c>
      <c r="X46" s="183">
        <f t="shared" si="19"/>
        <v>150</v>
      </c>
      <c r="AB46" s="52">
        <f>'BSi raw data and calculations'!S70</f>
        <v>4.6826600418081226</v>
      </c>
      <c r="AC46" s="52">
        <f>'BSi raw data and calculations'!T70</f>
        <v>10.017125023576009</v>
      </c>
      <c r="AF46" s="182">
        <f>'PIC data'!AF44</f>
        <v>72.531268687530698</v>
      </c>
      <c r="AG46" s="182">
        <f t="shared" si="15"/>
        <v>8.703442078206475</v>
      </c>
      <c r="AH46" s="182">
        <f t="shared" si="16"/>
        <v>4.6176085657144235</v>
      </c>
      <c r="AI46" s="182">
        <f t="shared" si="17"/>
        <v>97.509016308271796</v>
      </c>
      <c r="AJ46" s="125"/>
      <c r="AK46" s="182">
        <f t="shared" si="18"/>
        <v>7.5625735654913839</v>
      </c>
    </row>
    <row r="47" spans="1:37">
      <c r="A47" s="51">
        <v>2020</v>
      </c>
      <c r="B47" s="51" t="s">
        <v>108</v>
      </c>
      <c r="C47">
        <v>17</v>
      </c>
      <c r="D47" s="51">
        <f>'sample processing comments'!D46</f>
        <v>2</v>
      </c>
      <c r="E47" s="371">
        <f>'mass filt'!V51</f>
        <v>248.08571428571435</v>
      </c>
      <c r="F47" s="51">
        <v>0.5</v>
      </c>
      <c r="G47" s="51" t="str">
        <f>'sample processing comments'!H46</f>
        <v>IN2020_V09, UTC 29/08/20 UTC 03:37, ~10L + 10g Borate, -46˚ 897 142˚404</v>
      </c>
      <c r="H47" s="183">
        <f t="shared" si="11"/>
        <v>10</v>
      </c>
      <c r="I47" s="182">
        <f t="shared" si="12"/>
        <v>49.617142857142866</v>
      </c>
      <c r="J47" s="182">
        <f t="shared" si="13"/>
        <v>18.122661428571433</v>
      </c>
      <c r="L47" s="89">
        <v>1</v>
      </c>
      <c r="M47" s="125">
        <f>'CHN raw data'!C78</f>
        <v>13.42512035369873</v>
      </c>
      <c r="N47" s="125">
        <f>'CHN raw data'!D78</f>
        <v>0.66151225566864014</v>
      </c>
      <c r="O47" s="125">
        <f>'CHN raw data'!E78</f>
        <v>0.72834450006484985</v>
      </c>
      <c r="R47" s="182">
        <f>pH_Sal!D40</f>
        <v>39.99</v>
      </c>
      <c r="S47" s="182">
        <f>pH_Sal!K40</f>
        <v>8.58</v>
      </c>
      <c r="T47" s="184">
        <f>'Traps and Logs'!M159</f>
        <v>44242</v>
      </c>
      <c r="U47" s="184">
        <f>'Traps and Logs'!M160</f>
        <v>44252</v>
      </c>
      <c r="V47" s="185">
        <f t="shared" si="14"/>
        <v>44247</v>
      </c>
      <c r="W47" s="183">
        <f t="shared" si="10"/>
        <v>170</v>
      </c>
      <c r="X47" s="183">
        <f t="shared" si="19"/>
        <v>160</v>
      </c>
      <c r="AB47" s="52">
        <f>'BSi raw data and calculations'!S71</f>
        <v>4.7950258244882482</v>
      </c>
      <c r="AC47" s="52">
        <f>'BSi raw data and calculations'!T71</f>
        <v>10.257497393858985</v>
      </c>
      <c r="AF47" s="182">
        <f>'PIC data'!AF45</f>
        <v>71.054357565516824</v>
      </c>
      <c r="AG47" s="182">
        <f t="shared" si="15"/>
        <v>8.5262190592560767</v>
      </c>
      <c r="AH47" s="182">
        <f t="shared" si="16"/>
        <v>4.8989012944426538</v>
      </c>
      <c r="AI47" s="182">
        <f t="shared" si="17"/>
        <v>96.917762520474142</v>
      </c>
      <c r="AJ47" s="125"/>
      <c r="AK47" s="182"/>
    </row>
    <row r="48" spans="1:37">
      <c r="A48" s="51">
        <v>2020</v>
      </c>
      <c r="B48" s="51" t="s">
        <v>108</v>
      </c>
      <c r="C48">
        <v>18</v>
      </c>
      <c r="D48" s="51">
        <f>'sample processing comments'!D47</f>
        <v>2</v>
      </c>
      <c r="E48" s="371">
        <f>'mass filt'!V52</f>
        <v>213.18571428571428</v>
      </c>
      <c r="F48" s="51">
        <v>0.5</v>
      </c>
      <c r="G48" s="51" t="str">
        <f>'sample processing comments'!H47</f>
        <v>IN2020_V09, UTC 29/08/20 UTC 03:37, ~10L + 10g Borate, -46˚ 897 142˚404</v>
      </c>
      <c r="H48" s="183">
        <f t="shared" si="11"/>
        <v>10</v>
      </c>
      <c r="I48" s="182">
        <f t="shared" si="12"/>
        <v>42.637142857142855</v>
      </c>
      <c r="J48" s="182">
        <f t="shared" si="13"/>
        <v>15.573216428571431</v>
      </c>
      <c r="L48" s="89">
        <v>1</v>
      </c>
      <c r="M48" s="125">
        <f>'CHN raw data'!C79</f>
        <v>14.07595157623291</v>
      </c>
      <c r="N48" s="125">
        <f>'CHN raw data'!D79</f>
        <v>0.72730231285095215</v>
      </c>
      <c r="O48" s="125">
        <f>'CHN raw data'!E79</f>
        <v>0.75182080268859863</v>
      </c>
      <c r="R48" s="182">
        <f>pH_Sal!D41</f>
        <v>40.450000000000003</v>
      </c>
      <c r="S48" s="182">
        <f>pH_Sal!K41</f>
        <v>8.56</v>
      </c>
      <c r="T48" s="184">
        <f>'Traps and Logs'!M160</f>
        <v>44252</v>
      </c>
      <c r="U48" s="184">
        <f>'Traps and Logs'!M161</f>
        <v>44262</v>
      </c>
      <c r="V48" s="185">
        <f t="shared" si="14"/>
        <v>44257</v>
      </c>
      <c r="W48" s="183">
        <f t="shared" si="10"/>
        <v>180</v>
      </c>
      <c r="X48" s="183">
        <f t="shared" si="19"/>
        <v>170</v>
      </c>
      <c r="AB48" s="52">
        <f>'BSi raw data and calculations'!S72</f>
        <v>4.1350644209469749</v>
      </c>
      <c r="AC48" s="52">
        <f>'BSi raw data and calculations'!T72</f>
        <v>8.8457109667035869</v>
      </c>
      <c r="AF48" s="182">
        <f>'PIC data'!AF46</f>
        <v>73.102295555709006</v>
      </c>
      <c r="AG48" s="182">
        <f t="shared" si="15"/>
        <v>8.771962860514865</v>
      </c>
      <c r="AH48" s="182">
        <f t="shared" si="16"/>
        <v>5.3039887157180452</v>
      </c>
      <c r="AI48" s="182">
        <f t="shared" si="17"/>
        <v>98.289809903329697</v>
      </c>
      <c r="AJ48" s="125"/>
      <c r="AK48" s="182">
        <f t="shared" si="18"/>
        <v>8.2296881931905688</v>
      </c>
    </row>
    <row r="49" spans="1:44">
      <c r="A49" s="51">
        <v>2020</v>
      </c>
      <c r="B49" s="51" t="s">
        <v>108</v>
      </c>
      <c r="C49">
        <v>19</v>
      </c>
      <c r="D49" s="51">
        <f>'sample processing comments'!D48</f>
        <v>1</v>
      </c>
      <c r="E49" s="371">
        <f>'mass filt'!V53</f>
        <v>198.44285714285715</v>
      </c>
      <c r="F49" s="51">
        <v>0.5</v>
      </c>
      <c r="G49" s="51" t="str">
        <f>'sample processing comments'!H48</f>
        <v>IN2020_V09, UTC 29/08/20 UTC 03:37, ~10L + 10g Borate, -46˚ 897 142˚404</v>
      </c>
      <c r="H49" s="183">
        <f t="shared" si="11"/>
        <v>10</v>
      </c>
      <c r="I49" s="182">
        <f t="shared" si="12"/>
        <v>39.688571428571429</v>
      </c>
      <c r="J49" s="182">
        <f t="shared" si="13"/>
        <v>14.496250714285717</v>
      </c>
      <c r="L49" s="89">
        <v>1</v>
      </c>
      <c r="M49" s="125">
        <f>'CHN raw data'!C80</f>
        <v>14.142654418945313</v>
      </c>
      <c r="N49" s="125">
        <f>'CHN raw data'!D80</f>
        <v>0.75201159715652466</v>
      </c>
      <c r="O49" s="125">
        <f>'CHN raw data'!E80</f>
        <v>0.76021409034729004</v>
      </c>
      <c r="R49" s="182">
        <f>pH_Sal!D42</f>
        <v>40.35</v>
      </c>
      <c r="S49" s="182">
        <f>pH_Sal!K42</f>
        <v>8.64</v>
      </c>
      <c r="T49" s="184">
        <f>'Traps and Logs'!M161</f>
        <v>44262</v>
      </c>
      <c r="U49" s="184">
        <f>'Traps and Logs'!M162</f>
        <v>44272</v>
      </c>
      <c r="V49" s="185">
        <f t="shared" si="14"/>
        <v>44267</v>
      </c>
      <c r="W49" s="183">
        <f t="shared" si="10"/>
        <v>190</v>
      </c>
      <c r="X49" s="183">
        <f t="shared" si="19"/>
        <v>180</v>
      </c>
      <c r="AB49" s="52">
        <f>'BSi raw data and calculations'!S73</f>
        <v>4.5011020746242112</v>
      </c>
      <c r="AC49" s="52">
        <f>'BSi raw data and calculations'!T73</f>
        <v>9.6287370474962213</v>
      </c>
      <c r="AF49" s="182">
        <f>'PIC data'!AF47</f>
        <v>70.798797854877336</v>
      </c>
      <c r="AG49" s="182">
        <f t="shared" si="15"/>
        <v>8.4955529868252171</v>
      </c>
      <c r="AH49" s="182">
        <f t="shared" si="16"/>
        <v>5.6471014321200954</v>
      </c>
      <c r="AI49" s="182">
        <f t="shared" si="17"/>
        <v>97.610319128262361</v>
      </c>
      <c r="AJ49" s="125"/>
      <c r="AK49" s="182">
        <f t="shared" si="18"/>
        <v>8.6653239149288463</v>
      </c>
    </row>
    <row r="50" spans="1:44">
      <c r="A50" s="51">
        <v>2020</v>
      </c>
      <c r="B50" s="51" t="s">
        <v>108</v>
      </c>
      <c r="C50">
        <v>20</v>
      </c>
      <c r="D50" s="51">
        <f>'sample processing comments'!D49</f>
        <v>2</v>
      </c>
      <c r="E50" s="371">
        <f>'mass filt'!V54</f>
        <v>208.05714285714288</v>
      </c>
      <c r="F50" s="51">
        <v>0.5</v>
      </c>
      <c r="G50" s="51" t="str">
        <f>'sample processing comments'!H49</f>
        <v>IN2020_V09, UTC 29/08/20 UTC 03:37, ~10L + 10g Borate, -46˚ 897 142˚404</v>
      </c>
      <c r="H50" s="183">
        <f t="shared" si="11"/>
        <v>10</v>
      </c>
      <c r="I50" s="182">
        <f t="shared" si="12"/>
        <v>41.611428571428576</v>
      </c>
      <c r="J50" s="182">
        <f t="shared" si="13"/>
        <v>15.198574285714287</v>
      </c>
      <c r="L50" s="89">
        <v>1</v>
      </c>
      <c r="M50" s="125">
        <f>'CHN raw data'!C82</f>
        <v>15.354694366455078</v>
      </c>
      <c r="N50" s="125">
        <f>'CHN raw data'!D82</f>
        <v>1.1426252126693726</v>
      </c>
      <c r="O50" s="125">
        <f>'CHN raw data'!E82</f>
        <v>1.0963776111602783</v>
      </c>
      <c r="R50" s="182">
        <f>pH_Sal!D43</f>
        <v>40.17</v>
      </c>
      <c r="S50" s="182">
        <f>pH_Sal!K43</f>
        <v>8.64</v>
      </c>
      <c r="T50" s="184">
        <f>'Traps and Logs'!M162</f>
        <v>44272</v>
      </c>
      <c r="U50" s="184">
        <f>'Traps and Logs'!M163</f>
        <v>44282</v>
      </c>
      <c r="V50" s="185">
        <f t="shared" si="14"/>
        <v>44277</v>
      </c>
      <c r="W50" s="183">
        <f t="shared" si="10"/>
        <v>200</v>
      </c>
      <c r="X50" s="183">
        <f t="shared" si="19"/>
        <v>190</v>
      </c>
      <c r="AB50" s="52">
        <f>'BSi raw data and calculations'!S76</f>
        <v>5.7352738346144303</v>
      </c>
      <c r="AC50" s="52">
        <f>'BSi raw data and calculations'!T76</f>
        <v>12.268871652615918</v>
      </c>
      <c r="AF50" s="182">
        <f>'PIC data'!AF48</f>
        <v>63.780126009952184</v>
      </c>
      <c r="AG50" s="182">
        <f t="shared" si="15"/>
        <v>7.6533423792676736</v>
      </c>
      <c r="AH50" s="182">
        <f t="shared" si="16"/>
        <v>7.7013519871874045</v>
      </c>
      <c r="AI50" s="182">
        <f t="shared" si="17"/>
        <v>98.041547916168142</v>
      </c>
      <c r="AJ50" s="125"/>
      <c r="AK50" s="182">
        <f t="shared" si="18"/>
        <v>8.1941128847101741</v>
      </c>
    </row>
    <row r="51" spans="1:44">
      <c r="A51" s="51">
        <v>2020</v>
      </c>
      <c r="B51" s="51" t="s">
        <v>108</v>
      </c>
      <c r="C51">
        <v>21</v>
      </c>
      <c r="D51" s="51">
        <f>'sample processing comments'!D50</f>
        <v>10</v>
      </c>
      <c r="E51" s="371">
        <f>'mass filt'!V55</f>
        <v>471.45714285714291</v>
      </c>
      <c r="F51" s="51">
        <v>0.5</v>
      </c>
      <c r="G51" s="51" t="str">
        <f>'sample processing comments'!H50</f>
        <v>IN2020_V09, UTC 29/08/20 UTC 03:37, ~10L + 10g Borate, -46˚ 897 142˚404</v>
      </c>
      <c r="H51" s="183">
        <f t="shared" si="11"/>
        <v>10</v>
      </c>
      <c r="I51" s="182">
        <f t="shared" si="12"/>
        <v>94.291428571428582</v>
      </c>
      <c r="J51" s="182">
        <f t="shared" si="13"/>
        <v>34.43994428571429</v>
      </c>
      <c r="L51" s="89">
        <v>1</v>
      </c>
      <c r="M51" s="125">
        <f>'CHN raw data'!C83</f>
        <v>15.820767402648926</v>
      </c>
      <c r="N51" s="125">
        <f>'CHN raw data'!D83</f>
        <v>1.2575947046279907</v>
      </c>
      <c r="O51" s="125">
        <f>'CHN raw data'!E83</f>
        <v>1.2122112512588501</v>
      </c>
      <c r="R51" s="182">
        <f>pH_Sal!D44</f>
        <v>40.24</v>
      </c>
      <c r="S51" s="182">
        <f>pH_Sal!K44</f>
        <v>8.56</v>
      </c>
      <c r="T51" s="184">
        <f>'Traps and Logs'!M163</f>
        <v>44282</v>
      </c>
      <c r="U51" s="184">
        <f>'Traps and Logs'!M164</f>
        <v>44292</v>
      </c>
      <c r="V51" s="185">
        <f t="shared" si="14"/>
        <v>44287</v>
      </c>
      <c r="W51" s="183">
        <f t="shared" si="10"/>
        <v>210</v>
      </c>
      <c r="X51" s="183">
        <f t="shared" si="19"/>
        <v>200</v>
      </c>
      <c r="AB51" s="52">
        <f>'BSi raw data and calculations'!S77</f>
        <v>6.2631477858369919</v>
      </c>
      <c r="AC51" s="52">
        <f>'BSi raw data and calculations'!T77</f>
        <v>13.398097203664824</v>
      </c>
      <c r="AF51" s="182">
        <f>'PIC data'!AF49</f>
        <v>61.105419875883626</v>
      </c>
      <c r="AG51" s="182">
        <f t="shared" si="15"/>
        <v>7.3323890809822494</v>
      </c>
      <c r="AH51" s="182">
        <f t="shared" si="16"/>
        <v>8.4883783216666764</v>
      </c>
      <c r="AI51" s="182">
        <f t="shared" si="17"/>
        <v>98.351740079618281</v>
      </c>
      <c r="AJ51" s="125"/>
      <c r="AK51" s="182">
        <f t="shared" si="18"/>
        <v>8.168485543968643</v>
      </c>
    </row>
    <row r="52" spans="1:44">
      <c r="A52" s="127" t="s">
        <v>1735</v>
      </c>
      <c r="R52" s="182"/>
    </row>
    <row r="54" spans="1:44" s="98" customFormat="1">
      <c r="A54" s="103" t="s">
        <v>166</v>
      </c>
      <c r="B54" s="117" t="s">
        <v>1719</v>
      </c>
      <c r="C54" s="116"/>
      <c r="E54" s="373"/>
      <c r="F54" s="114"/>
      <c r="G54" s="103"/>
      <c r="H54" s="113"/>
      <c r="I54" s="102" t="s">
        <v>152</v>
      </c>
      <c r="J54" s="99"/>
      <c r="K54" s="99"/>
      <c r="L54" s="99"/>
      <c r="M54" s="112"/>
      <c r="N54" s="112"/>
      <c r="O54" s="112"/>
      <c r="P54" s="112"/>
      <c r="Q54" s="111"/>
      <c r="R54" s="99"/>
      <c r="S54" s="99"/>
      <c r="T54" s="110"/>
      <c r="U54" s="110"/>
      <c r="V54" s="109"/>
      <c r="W54" s="108">
        <v>0</v>
      </c>
      <c r="X54" s="107"/>
      <c r="Y54" s="106"/>
      <c r="Z54" s="99"/>
      <c r="AA54" s="99"/>
      <c r="AB54" s="105"/>
      <c r="AC54" s="105"/>
      <c r="AD54" s="104"/>
      <c r="AE54" s="104"/>
      <c r="AF54" s="104"/>
      <c r="AH54" s="103"/>
      <c r="AI54" s="98" t="s">
        <v>1802</v>
      </c>
      <c r="AJ54" s="102"/>
      <c r="AL54" s="99"/>
      <c r="AM54" s="101"/>
      <c r="AN54" s="100"/>
      <c r="AO54" s="99"/>
      <c r="AP54" s="99"/>
      <c r="AQ54" s="99"/>
      <c r="AR54" s="99"/>
    </row>
    <row r="55" spans="1:44" s="51" customFormat="1">
      <c r="A55" s="51">
        <v>2020</v>
      </c>
      <c r="B55" s="51" t="s">
        <v>109</v>
      </c>
      <c r="C55" s="51" t="s">
        <v>1718</v>
      </c>
      <c r="D55" s="51">
        <f>'sample processing comments'!D54</f>
        <v>1</v>
      </c>
      <c r="E55" s="243">
        <f>'mass filt'!V58</f>
        <v>183.1142857142857</v>
      </c>
      <c r="F55" s="51">
        <v>0.5</v>
      </c>
      <c r="G55" s="51" t="str">
        <f>'sample processing comments'!H54</f>
        <v>IN2020_V09, UTC 29/08/20 UTC 03:37, ~10L + 10g Borate, -46˚ 897 142˚404</v>
      </c>
      <c r="H55" s="183">
        <f>U55-T55</f>
        <v>10</v>
      </c>
      <c r="I55" s="182">
        <f>E55/F55/H55</f>
        <v>36.622857142857143</v>
      </c>
      <c r="J55" s="182">
        <f>0.001*365.25*E55/F55/H55</f>
        <v>13.37649857142857</v>
      </c>
      <c r="L55" s="54"/>
      <c r="M55" s="182">
        <f>'CHN raw data'!C5</f>
        <v>12.899800300598145</v>
      </c>
      <c r="N55" s="182">
        <f>'CHN raw data'!D5</f>
        <v>0.65252465009689331</v>
      </c>
      <c r="O55" s="182">
        <f>'CHN raw data'!E5</f>
        <v>0.59025824069976807</v>
      </c>
      <c r="R55" s="182">
        <f>pH_Sal!D45</f>
        <v>40.659999999999997</v>
      </c>
      <c r="S55" s="182">
        <f>pH_Sal!K45</f>
        <v>8.57</v>
      </c>
      <c r="T55" s="184">
        <f>'Traps and Logs'!U134</f>
        <v>44082</v>
      </c>
      <c r="U55" s="184">
        <f>'Traps and Logs'!U135</f>
        <v>44092</v>
      </c>
      <c r="V55" s="185">
        <f>AVERAGE(T55:U55)</f>
        <v>44087</v>
      </c>
      <c r="W55" s="183">
        <f t="shared" ref="W55:W75" si="20">H55+W54</f>
        <v>10</v>
      </c>
      <c r="X55" s="51">
        <v>0</v>
      </c>
      <c r="AB55" s="51">
        <f>'BSi raw data and calculations'!S78</f>
        <v>4.751820907246838</v>
      </c>
      <c r="AC55" s="51">
        <f>'BSi raw data and calculations'!T78</f>
        <v>10.16507363177154</v>
      </c>
      <c r="AF55" s="182">
        <f>'PIC data'!AF50</f>
        <v>68.576369776126299</v>
      </c>
      <c r="AG55" s="182">
        <f>AF55*12.01/100.0869</f>
        <v>8.2288711211085257</v>
      </c>
      <c r="AH55" s="182">
        <f>M55-AG55</f>
        <v>4.6709291794896188</v>
      </c>
      <c r="AI55" s="182">
        <f>AF55+(AC55*1.11)+(AH55*2.2)+3.7</f>
        <v>93.835645702269872</v>
      </c>
      <c r="AJ55" s="182"/>
      <c r="AK55" s="182">
        <f>(AH55/12.01)/(O55/14.01)</f>
        <v>9.2311615499249893</v>
      </c>
    </row>
    <row r="56" spans="1:44">
      <c r="A56" s="51">
        <v>2020</v>
      </c>
      <c r="B56" s="51" t="s">
        <v>109</v>
      </c>
      <c r="C56">
        <v>2</v>
      </c>
      <c r="D56" s="51">
        <f>'sample processing comments'!D55</f>
        <v>1</v>
      </c>
      <c r="E56" s="243">
        <f>'mass filt'!V59</f>
        <v>182.27142857142854</v>
      </c>
      <c r="F56" s="51">
        <v>0.5</v>
      </c>
      <c r="G56" s="51" t="str">
        <f>'sample processing comments'!H55</f>
        <v>IN2020_V09, UTC 29/08/20 UTC 03:37, ~10L + 10g Borate, -46˚ 897 142˚404</v>
      </c>
      <c r="H56" s="183">
        <f t="shared" ref="H56:H75" si="21">U56-T56</f>
        <v>10</v>
      </c>
      <c r="I56" s="182">
        <f t="shared" ref="I56:I75" si="22">E56/F56/H56</f>
        <v>36.45428571428571</v>
      </c>
      <c r="J56" s="182">
        <f t="shared" ref="J56:J75" si="23">0.001*365.25*E56/F56/H56</f>
        <v>13.314927857142857</v>
      </c>
      <c r="M56" s="182">
        <f>'CHN raw data'!C6</f>
        <v>13.168676376342773</v>
      </c>
      <c r="N56" s="182">
        <f>'CHN raw data'!D6</f>
        <v>0.70145046710968018</v>
      </c>
      <c r="O56" s="182">
        <f>'CHN raw data'!E6</f>
        <v>0.7134089469909668</v>
      </c>
      <c r="R56" s="182">
        <f>pH_Sal!D46</f>
        <v>40.57</v>
      </c>
      <c r="S56" s="182">
        <f>pH_Sal!K46</f>
        <v>8.58</v>
      </c>
      <c r="T56" s="184">
        <f>'Traps and Logs'!U135</f>
        <v>44092</v>
      </c>
      <c r="U56" s="184">
        <f>'Traps and Logs'!U136</f>
        <v>44102</v>
      </c>
      <c r="V56" s="185">
        <f t="shared" ref="V56:V75" si="24">AVERAGE(T56:U56)</f>
        <v>44097</v>
      </c>
      <c r="W56" s="183">
        <f t="shared" si="20"/>
        <v>20</v>
      </c>
      <c r="X56" s="183">
        <f>X55+H56</f>
        <v>10</v>
      </c>
      <c r="AB56" s="51">
        <f>'BSi raw data and calculations'!S79</f>
        <v>5.0364600465203715</v>
      </c>
      <c r="AC56" s="51">
        <f>'BSi raw data and calculations'!T79</f>
        <v>10.773972381467036</v>
      </c>
      <c r="AF56" s="182">
        <f>'PIC data'!AF51</f>
        <v>68.21062326798419</v>
      </c>
      <c r="AG56" s="182">
        <f t="shared" ref="AG56:AG75" si="25">AF56*12.01/100.0869</f>
        <v>8.1849831041673795</v>
      </c>
      <c r="AH56" s="182">
        <f t="shared" ref="AH56:AH75" si="26">M56-AG56</f>
        <v>4.9836932721753939</v>
      </c>
      <c r="AI56" s="182">
        <f t="shared" ref="AI56:AI75" si="27">AF56+(AC56*1.11)+(AH56*2.2)+3.7</f>
        <v>94.833857810198467</v>
      </c>
      <c r="AJ56" s="125"/>
      <c r="AK56" s="182">
        <f t="shared" ref="AK56:AK75" si="28">(AH56/12.01)/(O56/14.01)</f>
        <v>8.1490668693933657</v>
      </c>
    </row>
    <row r="57" spans="1:44">
      <c r="A57" s="51">
        <v>2020</v>
      </c>
      <c r="B57" s="51" t="s">
        <v>109</v>
      </c>
      <c r="C57">
        <v>3</v>
      </c>
      <c r="D57" s="51">
        <f>'sample processing comments'!D56</f>
        <v>1</v>
      </c>
      <c r="E57" s="243">
        <f>'mass filt'!V60</f>
        <v>251.5</v>
      </c>
      <c r="F57" s="51">
        <v>0.5</v>
      </c>
      <c r="G57" s="51" t="str">
        <f>'sample processing comments'!H56</f>
        <v>IN2020_V09, UTC 29/08/20 UTC 03:37, ~10L + 10g Borate, -46˚ 897 142˚404</v>
      </c>
      <c r="H57" s="183">
        <f t="shared" si="21"/>
        <v>10</v>
      </c>
      <c r="I57" s="182">
        <f t="shared" si="22"/>
        <v>50.3</v>
      </c>
      <c r="J57" s="182">
        <f t="shared" si="23"/>
        <v>18.372075000000002</v>
      </c>
      <c r="M57" s="182">
        <f>'CHN raw data'!C7</f>
        <v>12.728379249572754</v>
      </c>
      <c r="N57" s="182">
        <f>'CHN raw data'!D7</f>
        <v>0.59454715251922607</v>
      </c>
      <c r="O57" s="182">
        <f>'CHN raw data'!E7</f>
        <v>0.5815805196762085</v>
      </c>
      <c r="Q57" s="220" t="s">
        <v>1833</v>
      </c>
      <c r="R57" s="221">
        <f>AVERAGE(pH_Sal!D47,pH_Sal!G47)</f>
        <v>40.594999999999999</v>
      </c>
      <c r="S57" s="221">
        <f>AVERAGE(pH_Sal!K47,pH_Sal!N47)</f>
        <v>8.625</v>
      </c>
      <c r="T57" s="184">
        <f>'Traps and Logs'!U136</f>
        <v>44102</v>
      </c>
      <c r="U57" s="184">
        <f>'Traps and Logs'!U137</f>
        <v>44112</v>
      </c>
      <c r="V57" s="185">
        <f t="shared" si="24"/>
        <v>44107</v>
      </c>
      <c r="W57" s="183">
        <f t="shared" si="20"/>
        <v>30</v>
      </c>
      <c r="X57" s="183">
        <f t="shared" ref="X57:X75" si="29">X56+H57</f>
        <v>20</v>
      </c>
      <c r="AB57" s="528">
        <f>AVERAGE('BSi raw data and calculations'!S80,'BSi raw data repeats'!S37)</f>
        <v>5.0327405447628504</v>
      </c>
      <c r="AC57" s="528">
        <f>AVERAGE('BSi raw data and calculations'!T80,'BSi raw data repeats'!T37)</f>
        <v>10.76601564025631</v>
      </c>
      <c r="AF57" s="182">
        <f>'PIC data'!AF52</f>
        <v>70.547549325549454</v>
      </c>
      <c r="AG57" s="182">
        <f t="shared" si="25"/>
        <v>8.465404237715914</v>
      </c>
      <c r="AH57" s="182">
        <f t="shared" si="26"/>
        <v>4.2629750118568399</v>
      </c>
      <c r="AI57" s="182">
        <f t="shared" si="27"/>
        <v>95.576371712319016</v>
      </c>
      <c r="AJ57" s="125"/>
      <c r="AK57" s="182">
        <f t="shared" si="28"/>
        <v>8.5506290050107552</v>
      </c>
    </row>
    <row r="58" spans="1:44">
      <c r="A58" s="51">
        <v>2020</v>
      </c>
      <c r="B58" s="51" t="s">
        <v>109</v>
      </c>
      <c r="C58">
        <v>4</v>
      </c>
      <c r="D58" s="51">
        <f>'sample processing comments'!D57</f>
        <v>2</v>
      </c>
      <c r="E58" s="243">
        <f>'mass filt'!V61</f>
        <v>255.87142857142857</v>
      </c>
      <c r="F58" s="51">
        <v>0.5</v>
      </c>
      <c r="G58" s="51" t="str">
        <f>'sample processing comments'!H57</f>
        <v>IN2020_V09, UTC 29/08/20 UTC 03:19, #4, ~10L + 10g Borate, -46˚ 897 142˚404</v>
      </c>
      <c r="H58" s="183">
        <f t="shared" si="21"/>
        <v>10</v>
      </c>
      <c r="I58" s="182">
        <f t="shared" si="22"/>
        <v>51.174285714285716</v>
      </c>
      <c r="J58" s="182">
        <f t="shared" si="23"/>
        <v>18.691407857142856</v>
      </c>
      <c r="M58" s="182">
        <f>'CHN raw data'!C8</f>
        <v>13.007413864135742</v>
      </c>
      <c r="N58" s="182">
        <f>'CHN raw data'!D8</f>
        <v>0.60784351825714111</v>
      </c>
      <c r="O58" s="182">
        <f>'CHN raw data'!E8</f>
        <v>0.59120053052902222</v>
      </c>
      <c r="R58" s="182">
        <f>pH_Sal!D48</f>
        <v>40.380000000000003</v>
      </c>
      <c r="S58" s="182">
        <f>pH_Sal!K48</f>
        <v>8.59</v>
      </c>
      <c r="T58" s="184">
        <f>'Traps and Logs'!U137</f>
        <v>44112</v>
      </c>
      <c r="U58" s="184">
        <f>'Traps and Logs'!U138</f>
        <v>44122</v>
      </c>
      <c r="V58" s="185">
        <f t="shared" si="24"/>
        <v>44117</v>
      </c>
      <c r="W58" s="183">
        <f t="shared" si="20"/>
        <v>40</v>
      </c>
      <c r="X58" s="183">
        <f t="shared" si="29"/>
        <v>30</v>
      </c>
      <c r="AB58" s="528">
        <f>AVERAGE('BSi raw data and calculations'!S81,'BSi raw data repeats'!S38)</f>
        <v>3.9334797827984236</v>
      </c>
      <c r="AC58" s="528">
        <f>AVERAGE('BSi raw data and calculations'!T81,'BSi raw data repeats'!T38)</f>
        <v>8.4144820273534098</v>
      </c>
      <c r="AF58" s="182">
        <f>'PIC data'!AF53</f>
        <v>72.342737446932716</v>
      </c>
      <c r="AG58" s="182">
        <f t="shared" si="25"/>
        <v>8.6808191355478286</v>
      </c>
      <c r="AH58" s="182">
        <f t="shared" si="26"/>
        <v>4.3265947285879136</v>
      </c>
      <c r="AI58" s="182">
        <f t="shared" si="27"/>
        <v>94.901320900188423</v>
      </c>
      <c r="AJ58" s="125"/>
      <c r="AK58" s="182">
        <f t="shared" si="28"/>
        <v>8.5370245353378724</v>
      </c>
    </row>
    <row r="59" spans="1:44">
      <c r="A59" s="51">
        <v>2020</v>
      </c>
      <c r="B59" s="51" t="s">
        <v>109</v>
      </c>
      <c r="C59">
        <v>5</v>
      </c>
      <c r="D59" s="51">
        <f>'sample processing comments'!D58</f>
        <v>2</v>
      </c>
      <c r="E59" s="243">
        <f>'mass filt'!V62</f>
        <v>321.52857142857147</v>
      </c>
      <c r="F59" s="51">
        <v>0.5</v>
      </c>
      <c r="G59" s="51" t="str">
        <f>'sample processing comments'!H58</f>
        <v>IN2020_V09, UTC 29/08/20 UTC 03:19, #4, ~10L + 10g Borate, -46˚ 897 142˚404</v>
      </c>
      <c r="H59" s="183">
        <f t="shared" si="21"/>
        <v>10</v>
      </c>
      <c r="I59" s="182">
        <f t="shared" si="22"/>
        <v>64.305714285714288</v>
      </c>
      <c r="J59" s="182">
        <f t="shared" si="23"/>
        <v>23.487662142857147</v>
      </c>
      <c r="M59" s="182">
        <f>'CHN raw data'!C9</f>
        <v>13.373337745666504</v>
      </c>
      <c r="N59" s="182">
        <f>'CHN raw data'!D9</f>
        <v>0.65162098407745361</v>
      </c>
      <c r="O59" s="182">
        <f>'CHN raw data'!E9</f>
        <v>0.64371716976165771</v>
      </c>
      <c r="R59" s="182">
        <f>pH_Sal!D49</f>
        <v>40.57</v>
      </c>
      <c r="S59" s="182">
        <f>pH_Sal!K49</f>
        <v>8.6</v>
      </c>
      <c r="T59" s="184">
        <f>'Traps and Logs'!U138</f>
        <v>44122</v>
      </c>
      <c r="U59" s="184">
        <f>'Traps and Logs'!U139</f>
        <v>44132</v>
      </c>
      <c r="V59" s="185">
        <f t="shared" si="24"/>
        <v>44127</v>
      </c>
      <c r="W59" s="183">
        <f t="shared" si="20"/>
        <v>50</v>
      </c>
      <c r="X59" s="183">
        <f t="shared" si="29"/>
        <v>40</v>
      </c>
      <c r="AB59" s="51">
        <f>'BSi raw data and calculations'!S82</f>
        <v>4.3524597989431113</v>
      </c>
      <c r="AC59" s="51">
        <f>'BSi raw data and calculations'!T82</f>
        <v>9.3107621686896245</v>
      </c>
      <c r="AF59" s="182">
        <f>'PIC data'!AF54</f>
        <v>70.491654966838951</v>
      </c>
      <c r="AG59" s="182">
        <f t="shared" si="25"/>
        <v>8.4586971536908013</v>
      </c>
      <c r="AH59" s="182">
        <f t="shared" si="26"/>
        <v>4.9146405919757026</v>
      </c>
      <c r="AI59" s="182">
        <f t="shared" si="27"/>
        <v>95.338810276430991</v>
      </c>
      <c r="AJ59" s="125"/>
      <c r="AK59" s="182">
        <f t="shared" si="28"/>
        <v>8.906186763368634</v>
      </c>
    </row>
    <row r="60" spans="1:44">
      <c r="A60" s="51">
        <v>2020</v>
      </c>
      <c r="B60" s="51" t="s">
        <v>109</v>
      </c>
      <c r="C60">
        <v>6</v>
      </c>
      <c r="D60" s="51">
        <f>'sample processing comments'!D59</f>
        <v>2</v>
      </c>
      <c r="E60" s="243">
        <f>'mass filt'!V63</f>
        <v>326.28571428571428</v>
      </c>
      <c r="F60" s="51">
        <v>0.5</v>
      </c>
      <c r="G60" s="51" t="str">
        <f>'sample processing comments'!H59</f>
        <v>IN2020_V09, UTC 29/08/20 UTC 03:19, #4, ~10L + 10g Borate, -46˚ 897 142˚404</v>
      </c>
      <c r="H60" s="183">
        <f t="shared" si="21"/>
        <v>10</v>
      </c>
      <c r="I60" s="182">
        <f t="shared" si="22"/>
        <v>65.257142857142853</v>
      </c>
      <c r="J60" s="182">
        <f t="shared" si="23"/>
        <v>23.835171428571428</v>
      </c>
      <c r="M60" s="182">
        <f>'CHN raw data'!C10</f>
        <v>13.315540313720703</v>
      </c>
      <c r="N60" s="182">
        <f>'CHN raw data'!D10</f>
        <v>0.65746307373046875</v>
      </c>
      <c r="O60" s="182">
        <f>'CHN raw data'!E10</f>
        <v>0.62657523155212402</v>
      </c>
      <c r="R60" s="182">
        <f>pH_Sal!D50</f>
        <v>40.479999999999997</v>
      </c>
      <c r="S60" s="182">
        <f>pH_Sal!K50</f>
        <v>8.61</v>
      </c>
      <c r="T60" s="184">
        <f>'Traps and Logs'!U139</f>
        <v>44132</v>
      </c>
      <c r="U60" s="184">
        <f>'Traps and Logs'!U140</f>
        <v>44142</v>
      </c>
      <c r="V60" s="185">
        <f t="shared" si="24"/>
        <v>44137</v>
      </c>
      <c r="W60" s="183">
        <f t="shared" si="20"/>
        <v>60</v>
      </c>
      <c r="X60" s="183">
        <f t="shared" si="29"/>
        <v>50</v>
      </c>
      <c r="AB60" s="51">
        <f>'BSi raw data and calculations'!S83</f>
        <v>4.131922952353535</v>
      </c>
      <c r="AC60" s="51">
        <f>'BSi raw data and calculations'!T83</f>
        <v>8.8389907514034842</v>
      </c>
      <c r="AF60" s="182">
        <f>'PIC data'!AF55</f>
        <v>72.974725773626474</v>
      </c>
      <c r="AG60" s="182">
        <f t="shared" si="25"/>
        <v>8.7566550321895669</v>
      </c>
      <c r="AH60" s="182">
        <f t="shared" si="26"/>
        <v>4.5588852815311363</v>
      </c>
      <c r="AI60" s="182">
        <f t="shared" si="27"/>
        <v>96.51555312705284</v>
      </c>
      <c r="AJ60" s="125"/>
      <c r="AK60" s="182">
        <f t="shared" si="28"/>
        <v>8.487515267151684</v>
      </c>
    </row>
    <row r="61" spans="1:44">
      <c r="A61" s="51">
        <v>2020</v>
      </c>
      <c r="B61" s="51" t="s">
        <v>109</v>
      </c>
      <c r="C61">
        <v>7</v>
      </c>
      <c r="D61" s="51">
        <f>'sample processing comments'!D60</f>
        <v>2</v>
      </c>
      <c r="E61" s="243">
        <f>'mass filt'!V64</f>
        <v>329.01428571428568</v>
      </c>
      <c r="F61" s="51">
        <v>0.5</v>
      </c>
      <c r="G61" s="51" t="str">
        <f>'sample processing comments'!H60</f>
        <v>IN2020_V09, UTC 29/08/20 UTC 03:19, #4, ~10L + 10g Borate, -46˚ 897 142˚404</v>
      </c>
      <c r="H61" s="183">
        <f t="shared" si="21"/>
        <v>10</v>
      </c>
      <c r="I61" s="182">
        <f t="shared" si="22"/>
        <v>65.802857142857135</v>
      </c>
      <c r="J61" s="182">
        <f t="shared" si="23"/>
        <v>24.03449357142857</v>
      </c>
      <c r="M61" s="182">
        <f>'CHN raw data'!C11</f>
        <v>13.32733154296875</v>
      </c>
      <c r="N61" s="182">
        <f>'CHN raw data'!D11</f>
        <v>0.60977154970169067</v>
      </c>
      <c r="O61" s="182">
        <f>'CHN raw data'!E11</f>
        <v>0.60172700881958008</v>
      </c>
      <c r="R61" s="182">
        <f>pH_Sal!D51</f>
        <v>40.44</v>
      </c>
      <c r="S61" s="182">
        <f>pH_Sal!K51</f>
        <v>8.59</v>
      </c>
      <c r="T61" s="184">
        <f>'Traps and Logs'!U140</f>
        <v>44142</v>
      </c>
      <c r="U61" s="184">
        <f>'Traps and Logs'!U141</f>
        <v>44152</v>
      </c>
      <c r="V61" s="185">
        <f t="shared" si="24"/>
        <v>44147</v>
      </c>
      <c r="W61" s="183">
        <f t="shared" si="20"/>
        <v>70</v>
      </c>
      <c r="X61" s="183">
        <f t="shared" si="29"/>
        <v>60</v>
      </c>
      <c r="AB61" s="51">
        <f>'BSi raw data and calculations'!S84</f>
        <v>3.7052913978229824</v>
      </c>
      <c r="AC61" s="51">
        <f>'BSi raw data and calculations'!T84</f>
        <v>7.926342474018619</v>
      </c>
      <c r="AF61" s="182">
        <f>'PIC data'!AF56</f>
        <v>73.018822464509</v>
      </c>
      <c r="AG61" s="182">
        <f t="shared" si="25"/>
        <v>8.7619464465254993</v>
      </c>
      <c r="AH61" s="182">
        <f t="shared" si="26"/>
        <v>4.5653850964432507</v>
      </c>
      <c r="AI61" s="182">
        <f t="shared" si="27"/>
        <v>95.56090982284482</v>
      </c>
      <c r="AJ61" s="125"/>
      <c r="AK61" s="182">
        <f t="shared" si="28"/>
        <v>8.850606639150616</v>
      </c>
    </row>
    <row r="62" spans="1:44">
      <c r="A62" s="51">
        <v>2020</v>
      </c>
      <c r="B62" s="51" t="s">
        <v>109</v>
      </c>
      <c r="C62">
        <v>8</v>
      </c>
      <c r="D62" s="51">
        <f>'sample processing comments'!D61</f>
        <v>2</v>
      </c>
      <c r="E62" s="243">
        <f>'mass filt'!V65</f>
        <v>288.75714285714287</v>
      </c>
      <c r="F62" s="51">
        <v>0.5</v>
      </c>
      <c r="G62" s="51" t="str">
        <f>'sample processing comments'!H61</f>
        <v>IN2020_V09, UTC 29/08/20 UTC 03:19, #4, ~10L + 10g Borate, -46˚ 897 142˚404</v>
      </c>
      <c r="H62" s="183">
        <f t="shared" si="21"/>
        <v>10</v>
      </c>
      <c r="I62" s="182">
        <f t="shared" si="22"/>
        <v>57.751428571428576</v>
      </c>
      <c r="J62" s="182">
        <f t="shared" si="23"/>
        <v>21.09370928571429</v>
      </c>
      <c r="M62" s="182">
        <f>'CHN raw data'!C12</f>
        <v>13.380064964294434</v>
      </c>
      <c r="N62" s="182">
        <f>'CHN raw data'!D12</f>
        <v>0.60549134016036987</v>
      </c>
      <c r="O62" s="182">
        <f>'CHN raw data'!E12</f>
        <v>0.59552651643753052</v>
      </c>
      <c r="R62" s="182">
        <f>pH_Sal!D52</f>
        <v>40.49</v>
      </c>
      <c r="S62" s="182">
        <f>pH_Sal!K52</f>
        <v>8.51</v>
      </c>
      <c r="T62" s="184">
        <f>'Traps and Logs'!U141</f>
        <v>44152</v>
      </c>
      <c r="U62" s="184">
        <f>'Traps and Logs'!U142</f>
        <v>44162</v>
      </c>
      <c r="V62" s="185">
        <f t="shared" si="24"/>
        <v>44157</v>
      </c>
      <c r="W62" s="183">
        <f t="shared" si="20"/>
        <v>80</v>
      </c>
      <c r="X62" s="183">
        <f t="shared" si="29"/>
        <v>70</v>
      </c>
      <c r="AB62" s="51">
        <f>'BSi raw data and calculations'!S85</f>
        <v>3.7302373745900064</v>
      </c>
      <c r="AC62" s="51">
        <f>'BSi raw data and calculations'!T85</f>
        <v>7.9797067938452662</v>
      </c>
      <c r="AF62" s="182">
        <f>'PIC data'!AF57</f>
        <v>72.701089482281674</v>
      </c>
      <c r="AG62" s="182">
        <f t="shared" si="25"/>
        <v>8.72381984737466</v>
      </c>
      <c r="AH62" s="182">
        <f t="shared" si="26"/>
        <v>4.6562451169197736</v>
      </c>
      <c r="AI62" s="182">
        <f t="shared" si="27"/>
        <v>95.502303280673416</v>
      </c>
      <c r="AJ62" s="125"/>
      <c r="AK62" s="182">
        <f t="shared" si="28"/>
        <v>9.1207354459880801</v>
      </c>
    </row>
    <row r="63" spans="1:44">
      <c r="A63" s="51">
        <v>2020</v>
      </c>
      <c r="B63" s="51" t="s">
        <v>109</v>
      </c>
      <c r="C63">
        <v>9</v>
      </c>
      <c r="D63" s="51">
        <f>'sample processing comments'!D62</f>
        <v>3</v>
      </c>
      <c r="E63" s="243">
        <f>'mass filt'!V66</f>
        <v>294.91428571428571</v>
      </c>
      <c r="F63" s="51">
        <v>0.5</v>
      </c>
      <c r="G63" s="51" t="str">
        <f>'sample processing comments'!H62</f>
        <v>IN2020_V09, UTC 29/08/20 UTC 03:19, #4, ~10L + 10g Borate, -46˚ 897 142˚404</v>
      </c>
      <c r="H63" s="183">
        <f t="shared" si="21"/>
        <v>10</v>
      </c>
      <c r="I63" s="182">
        <f t="shared" si="22"/>
        <v>58.982857142857142</v>
      </c>
      <c r="J63" s="182">
        <f t="shared" si="23"/>
        <v>21.543488571428572</v>
      </c>
      <c r="M63" s="182">
        <f>'CHN raw data'!C13</f>
        <v>13.234282493591309</v>
      </c>
      <c r="N63" s="182">
        <f>'CHN raw data'!D13</f>
        <v>0.64322125911712646</v>
      </c>
      <c r="O63" s="182">
        <f>'CHN raw data'!E13</f>
        <v>0.60648548603057861</v>
      </c>
      <c r="R63" s="182">
        <f>pH_Sal!D53</f>
        <v>40.53</v>
      </c>
      <c r="S63" s="182">
        <f>pH_Sal!K53</f>
        <v>8.64</v>
      </c>
      <c r="T63" s="184">
        <f>'Traps and Logs'!U142</f>
        <v>44162</v>
      </c>
      <c r="U63" s="184">
        <f>'Traps and Logs'!U143</f>
        <v>44172</v>
      </c>
      <c r="V63" s="185">
        <f t="shared" si="24"/>
        <v>44167</v>
      </c>
      <c r="W63" s="183">
        <f t="shared" si="20"/>
        <v>90</v>
      </c>
      <c r="X63" s="183">
        <f t="shared" si="29"/>
        <v>80</v>
      </c>
      <c r="AB63">
        <f>'BSi raw data and calculations'!S88</f>
        <v>3.7932186349915229</v>
      </c>
      <c r="AC63">
        <f>'BSi raw data and calculations'!T88</f>
        <v>8.1144360191043283</v>
      </c>
      <c r="AF63" s="182">
        <f>'PIC data'!AF58</f>
        <v>72.457462317211593</v>
      </c>
      <c r="AG63" s="182">
        <f t="shared" si="25"/>
        <v>8.6945856293851769</v>
      </c>
      <c r="AH63" s="182">
        <f t="shared" si="26"/>
        <v>4.5396968642061317</v>
      </c>
      <c r="AI63" s="182">
        <f t="shared" si="27"/>
        <v>95.151819399670885</v>
      </c>
      <c r="AJ63" s="125"/>
      <c r="AK63" s="182">
        <f t="shared" si="28"/>
        <v>8.7317555683607999</v>
      </c>
    </row>
    <row r="64" spans="1:44">
      <c r="A64" s="51">
        <v>2020</v>
      </c>
      <c r="B64" s="51" t="s">
        <v>109</v>
      </c>
      <c r="C64">
        <v>10</v>
      </c>
      <c r="D64" s="51">
        <f>'sample processing comments'!D63</f>
        <v>3</v>
      </c>
      <c r="E64" s="243">
        <f>'mass filt'!V67</f>
        <v>328.71428571428567</v>
      </c>
      <c r="F64" s="51">
        <v>0.5</v>
      </c>
      <c r="G64" s="51" t="str">
        <f>'sample processing comments'!H63</f>
        <v>IN2020_V09, UTC 29/08/20 UTC 03:19, #4, ~10L + 10g Borate, -46˚ 897 142˚404</v>
      </c>
      <c r="H64" s="183">
        <f t="shared" si="21"/>
        <v>10</v>
      </c>
      <c r="I64" s="182">
        <f t="shared" si="22"/>
        <v>65.742857142857133</v>
      </c>
      <c r="J64" s="182">
        <f t="shared" si="23"/>
        <v>24.01257857142857</v>
      </c>
      <c r="M64" s="182">
        <f>'CHN raw data'!C14</f>
        <v>12.993215560913086</v>
      </c>
      <c r="N64" s="182">
        <f>'CHN raw data'!D14</f>
        <v>0.55701357126235962</v>
      </c>
      <c r="O64" s="182">
        <f>'CHN raw data'!E14</f>
        <v>0.56915897130966187</v>
      </c>
      <c r="R64" s="182">
        <f>pH_Sal!D54</f>
        <v>40.33</v>
      </c>
      <c r="S64" s="182">
        <f>pH_Sal!K54</f>
        <v>8.6300000000000008</v>
      </c>
      <c r="T64" s="184">
        <f>'Traps and Logs'!U143</f>
        <v>44172</v>
      </c>
      <c r="U64" s="184">
        <f>'Traps and Logs'!U144</f>
        <v>44182</v>
      </c>
      <c r="V64" s="185">
        <f t="shared" si="24"/>
        <v>44177</v>
      </c>
      <c r="W64" s="183">
        <f t="shared" si="20"/>
        <v>100</v>
      </c>
      <c r="X64" s="183">
        <f t="shared" si="29"/>
        <v>90</v>
      </c>
      <c r="AB64">
        <f>'BSi raw data and calculations'!S89</f>
        <v>3.9164239704910808</v>
      </c>
      <c r="AC64">
        <f>'BSi raw data and calculations'!T89</f>
        <v>8.3779963113851572</v>
      </c>
      <c r="AF64" s="182">
        <f>'PIC data'!AF59</f>
        <v>73.506477766342272</v>
      </c>
      <c r="AG64" s="182">
        <f t="shared" si="25"/>
        <v>8.8204629973929727</v>
      </c>
      <c r="AH64" s="182">
        <f t="shared" si="26"/>
        <v>4.1727525635201133</v>
      </c>
      <c r="AI64" s="182">
        <f t="shared" si="27"/>
        <v>95.686109311724053</v>
      </c>
      <c r="AJ64" s="125"/>
      <c r="AK64" s="182">
        <f t="shared" si="28"/>
        <v>8.5523245754948434</v>
      </c>
    </row>
    <row r="65" spans="1:37">
      <c r="A65" s="51">
        <v>2020</v>
      </c>
      <c r="B65" s="51" t="s">
        <v>109</v>
      </c>
      <c r="C65">
        <v>11</v>
      </c>
      <c r="D65" s="51">
        <f>'sample processing comments'!D64</f>
        <v>10</v>
      </c>
      <c r="E65" s="243">
        <f>'mass filt'!V68</f>
        <v>483.82857142857142</v>
      </c>
      <c r="F65" s="51">
        <v>0.5</v>
      </c>
      <c r="G65" s="51" t="str">
        <f>'sample processing comments'!H64</f>
        <v>IN2020_V09, UTC 29/08/20 UTC 03:19, #4, ~10L + 10g Borate, -46˚ 897 142˚404</v>
      </c>
      <c r="H65" s="183">
        <f t="shared" si="21"/>
        <v>10</v>
      </c>
      <c r="I65" s="182">
        <f t="shared" si="22"/>
        <v>96.765714285714282</v>
      </c>
      <c r="J65" s="182">
        <f t="shared" si="23"/>
        <v>35.343677142857146</v>
      </c>
      <c r="M65" s="182">
        <f>'CHN raw data'!C15</f>
        <v>13.472657203674316</v>
      </c>
      <c r="N65" s="182">
        <f>'CHN raw data'!D15</f>
        <v>0.8663405179977417</v>
      </c>
      <c r="O65" s="182">
        <f>'CHN raw data'!E15</f>
        <v>0.74613505601882935</v>
      </c>
      <c r="R65" s="182">
        <f>pH_Sal!D55</f>
        <v>40.08</v>
      </c>
      <c r="S65" s="182">
        <f>pH_Sal!K55</f>
        <v>8.59</v>
      </c>
      <c r="T65" s="184">
        <f>'Traps and Logs'!U144</f>
        <v>44182</v>
      </c>
      <c r="U65" s="184">
        <f>'Traps and Logs'!U145</f>
        <v>44192</v>
      </c>
      <c r="V65" s="185">
        <f t="shared" si="24"/>
        <v>44187</v>
      </c>
      <c r="W65" s="183">
        <f t="shared" si="20"/>
        <v>110</v>
      </c>
      <c r="X65" s="183">
        <f t="shared" si="29"/>
        <v>100</v>
      </c>
      <c r="AB65">
        <f>'BSi raw data and calculations'!S90</f>
        <v>6.5596598559310619</v>
      </c>
      <c r="AC65">
        <f>'BSi raw data and calculations'!T90</f>
        <v>14.032394472869262</v>
      </c>
      <c r="AF65" s="182">
        <f>'PIC data'!AF60</f>
        <v>67.28810833802774</v>
      </c>
      <c r="AG65" s="182">
        <f t="shared" si="25"/>
        <v>8.0742852575083575</v>
      </c>
      <c r="AH65" s="182">
        <f t="shared" si="26"/>
        <v>5.3983719461659589</v>
      </c>
      <c r="AI65" s="182">
        <f t="shared" si="27"/>
        <v>98.440484484477736</v>
      </c>
      <c r="AJ65" s="125"/>
      <c r="AK65" s="182">
        <f t="shared" si="28"/>
        <v>8.4399619123528744</v>
      </c>
    </row>
    <row r="66" spans="1:37">
      <c r="A66" s="51">
        <v>2020</v>
      </c>
      <c r="B66" s="51" t="s">
        <v>109</v>
      </c>
      <c r="C66">
        <v>12</v>
      </c>
      <c r="D66" s="51">
        <f>'sample processing comments'!D65</f>
        <v>15</v>
      </c>
      <c r="E66" s="371">
        <f>'mass filt'!V70</f>
        <v>709.71428571428555</v>
      </c>
      <c r="F66" s="51">
        <v>0.5</v>
      </c>
      <c r="G66" s="51" t="str">
        <f>'sample processing comments'!H65</f>
        <v>IN2020_V09, UTC 29/08/20 UTC 03:19, #4, ~10L + 10g Borate, -46˚ 897 142˚404</v>
      </c>
      <c r="H66" s="183">
        <f t="shared" si="21"/>
        <v>10</v>
      </c>
      <c r="I66" s="182">
        <f t="shared" si="22"/>
        <v>141.94285714285712</v>
      </c>
      <c r="J66" s="182">
        <f t="shared" si="23"/>
        <v>51.844628571428565</v>
      </c>
      <c r="M66" s="125">
        <f>AVERAGE('CHN raw data'!C17:C18)</f>
        <v>13.184128761291504</v>
      </c>
      <c r="N66" s="125">
        <f>AVERAGE('CHN raw data'!D17:D18)</f>
        <v>0.91172477602958679</v>
      </c>
      <c r="O66" s="125">
        <f>AVERAGE('CHN raw data'!E17:E18)</f>
        <v>0.76508283615112305</v>
      </c>
      <c r="Q66" s="220" t="s">
        <v>1833</v>
      </c>
      <c r="R66" s="221">
        <f>AVERAGE(pH_Sal!D56,pH_Sal!G56)</f>
        <v>39.980000000000004</v>
      </c>
      <c r="S66" s="221">
        <f>AVERAGE(pH_Sal!K56,pH_Sal!N56)</f>
        <v>8.5249999999999986</v>
      </c>
      <c r="T66" s="184">
        <f>'Traps and Logs'!U145</f>
        <v>44192</v>
      </c>
      <c r="U66" s="184">
        <f>'Traps and Logs'!U146</f>
        <v>44202</v>
      </c>
      <c r="V66" s="185">
        <f t="shared" si="24"/>
        <v>44197</v>
      </c>
      <c r="W66" s="183">
        <f t="shared" si="20"/>
        <v>120</v>
      </c>
      <c r="X66" s="183">
        <f t="shared" si="29"/>
        <v>110</v>
      </c>
      <c r="AB66" s="528">
        <f>AVERAGE('BSi raw data and calculations'!S91:S92,'BSi raw data repeats'!S45:S46)</f>
        <v>8.4994246108032545</v>
      </c>
      <c r="AC66" s="528">
        <f>AVERAGE('BSi raw data and calculations'!T91:T92,'BSi raw data repeats'!T45:T46)</f>
        <v>18.181930397407175</v>
      </c>
      <c r="AF66" s="182">
        <f>'PIC data'!AF61</f>
        <v>61.132867810435712</v>
      </c>
      <c r="AG66" s="182">
        <f t="shared" si="25"/>
        <v>7.3356827157533395</v>
      </c>
      <c r="AH66" s="182">
        <f t="shared" si="26"/>
        <v>5.8484460455381644</v>
      </c>
      <c r="AI66" s="182">
        <f t="shared" si="27"/>
        <v>97.881391851741654</v>
      </c>
      <c r="AJ66" s="125"/>
      <c r="AK66" s="182">
        <f t="shared" si="28"/>
        <v>8.9171722628308157</v>
      </c>
    </row>
    <row r="67" spans="1:37">
      <c r="A67" s="51">
        <v>2020</v>
      </c>
      <c r="B67" s="51" t="s">
        <v>109</v>
      </c>
      <c r="C67">
        <v>13</v>
      </c>
      <c r="D67" s="51">
        <f>'sample processing comments'!D66</f>
        <v>10</v>
      </c>
      <c r="E67" s="371">
        <f>'mass filt'!V72</f>
        <v>529.78571428571433</v>
      </c>
      <c r="F67" s="51">
        <v>0.5</v>
      </c>
      <c r="G67" s="51" t="str">
        <f>'sample processing comments'!H66</f>
        <v>IN2020_V09, UTC 29/08/20 UTC 03:19, #4, ~10L + 10g Borate, -46˚ 897 142˚404</v>
      </c>
      <c r="H67" s="183">
        <f t="shared" si="21"/>
        <v>10</v>
      </c>
      <c r="I67" s="182">
        <f t="shared" si="22"/>
        <v>105.95714285714287</v>
      </c>
      <c r="J67" s="182">
        <f t="shared" si="23"/>
        <v>38.700846428571438</v>
      </c>
      <c r="M67" s="125">
        <f>'CHN raw data'!C19</f>
        <v>12.692751884460449</v>
      </c>
      <c r="N67" s="125">
        <f>'CHN raw data'!D19</f>
        <v>0.6848340630531311</v>
      </c>
      <c r="O67" s="125">
        <f>'CHN raw data'!E19</f>
        <v>0.65266978740692139</v>
      </c>
      <c r="R67" s="182">
        <f>pH_Sal!D57</f>
        <v>40.24</v>
      </c>
      <c r="S67" s="182">
        <f>pH_Sal!K57</f>
        <v>8.58</v>
      </c>
      <c r="T67" s="184">
        <f>'Traps and Logs'!U146</f>
        <v>44202</v>
      </c>
      <c r="U67" s="184">
        <f>'Traps and Logs'!U147</f>
        <v>44212</v>
      </c>
      <c r="V67" s="185">
        <f t="shared" si="24"/>
        <v>44207</v>
      </c>
      <c r="W67" s="183">
        <f t="shared" si="20"/>
        <v>130</v>
      </c>
      <c r="X67" s="183">
        <f t="shared" si="29"/>
        <v>120</v>
      </c>
      <c r="AB67">
        <f>'BSi raw data and calculations'!S93</f>
        <v>7.1012291337416045</v>
      </c>
      <c r="AC67">
        <f>'BSi raw data and calculations'!T93</f>
        <v>15.190917004148558</v>
      </c>
      <c r="AF67" s="182">
        <f>'PIC data'!AF62</f>
        <v>66.175924978466284</v>
      </c>
      <c r="AG67" s="182">
        <f t="shared" si="25"/>
        <v>7.9408280103727868</v>
      </c>
      <c r="AH67" s="182">
        <f t="shared" si="26"/>
        <v>4.7519238740876624</v>
      </c>
      <c r="AI67" s="182">
        <f t="shared" si="27"/>
        <v>97.192075376064039</v>
      </c>
      <c r="AJ67" s="125"/>
      <c r="AK67" s="182">
        <f t="shared" si="28"/>
        <v>8.4931949563123119</v>
      </c>
    </row>
    <row r="68" spans="1:37">
      <c r="A68" s="51">
        <v>2020</v>
      </c>
      <c r="B68" s="51" t="s">
        <v>109</v>
      </c>
      <c r="C68">
        <v>14</v>
      </c>
      <c r="D68" s="51">
        <f>'sample processing comments'!D67</f>
        <v>10</v>
      </c>
      <c r="E68" s="371">
        <f>'mass filt'!V73</f>
        <v>573.92857142857144</v>
      </c>
      <c r="F68" s="51">
        <v>0.5</v>
      </c>
      <c r="G68" s="51" t="str">
        <f>'sample processing comments'!H67</f>
        <v>IN2020_V09, UTC 29/08/20 UTC 03:19, #4, ~10L + 10g Borate, -46˚ 897 142˚404</v>
      </c>
      <c r="H68" s="183">
        <f t="shared" si="21"/>
        <v>10</v>
      </c>
      <c r="I68" s="182">
        <f t="shared" si="22"/>
        <v>114.78571428571429</v>
      </c>
      <c r="J68" s="182">
        <f t="shared" si="23"/>
        <v>41.925482142857149</v>
      </c>
      <c r="M68" s="125">
        <f>'CHN raw data'!C20</f>
        <v>12.899261474609375</v>
      </c>
      <c r="N68" s="125">
        <f>'CHN raw data'!D20</f>
        <v>0.77483177185058594</v>
      </c>
      <c r="O68" s="125">
        <f>'CHN raw data'!E20</f>
        <v>0.70554590225219727</v>
      </c>
      <c r="R68" s="182">
        <f>pH_Sal!D58</f>
        <v>40.14</v>
      </c>
      <c r="S68" s="182">
        <f>pH_Sal!K58</f>
        <v>8.56</v>
      </c>
      <c r="T68" s="184">
        <f>'Traps and Logs'!U147</f>
        <v>44212</v>
      </c>
      <c r="U68" s="184">
        <f>'Traps and Logs'!U148</f>
        <v>44222</v>
      </c>
      <c r="V68" s="185">
        <f t="shared" si="24"/>
        <v>44217</v>
      </c>
      <c r="W68" s="183">
        <f t="shared" si="20"/>
        <v>140</v>
      </c>
      <c r="X68" s="183">
        <f t="shared" si="29"/>
        <v>130</v>
      </c>
      <c r="AB68">
        <f>AVERAGE('BSi raw data and calculations'!S94:S95)</f>
        <v>7.2363021171661863</v>
      </c>
      <c r="AC68">
        <f>AVERAGE('BSi raw data and calculations'!T94:T95)</f>
        <v>15.479864514792315</v>
      </c>
      <c r="AF68" s="182">
        <f>'PIC data'!AF63</f>
        <v>65.744699445071774</v>
      </c>
      <c r="AG68" s="182">
        <f t="shared" si="25"/>
        <v>7.8890827904082546</v>
      </c>
      <c r="AH68" s="182">
        <f t="shared" si="26"/>
        <v>5.0101786842011204</v>
      </c>
      <c r="AI68" s="182">
        <f t="shared" si="27"/>
        <v>97.649742161733712</v>
      </c>
      <c r="AJ68" s="125"/>
      <c r="AK68" s="182">
        <f t="shared" si="28"/>
        <v>8.2836753320984684</v>
      </c>
    </row>
    <row r="69" spans="1:37">
      <c r="A69" s="51">
        <v>2020</v>
      </c>
      <c r="B69" s="51" t="s">
        <v>109</v>
      </c>
      <c r="C69">
        <v>15</v>
      </c>
      <c r="D69" s="51">
        <f>'sample processing comments'!D68</f>
        <v>12</v>
      </c>
      <c r="E69" s="371">
        <f>'mass filt'!V74</f>
        <v>539.07142857142856</v>
      </c>
      <c r="F69" s="51">
        <v>0.5</v>
      </c>
      <c r="G69" s="51" t="str">
        <f>'sample processing comments'!H68</f>
        <v>IN2020_V09, UTC 29/08/20 UTC 03:19, #4, ~10L + 10g Borate, -46˚ 897 142˚404</v>
      </c>
      <c r="H69" s="183">
        <f t="shared" si="21"/>
        <v>10</v>
      </c>
      <c r="I69" s="182">
        <f t="shared" si="22"/>
        <v>107.81428571428572</v>
      </c>
      <c r="J69" s="182">
        <f t="shared" si="23"/>
        <v>39.37916785714286</v>
      </c>
      <c r="M69" s="125">
        <f>'CHN raw data'!C21</f>
        <v>12.310659408569336</v>
      </c>
      <c r="N69" s="125">
        <f>'CHN raw data'!D21</f>
        <v>0.6152883768081665</v>
      </c>
      <c r="O69" s="125">
        <f>'CHN raw data'!E21</f>
        <v>0.58270043134689331</v>
      </c>
      <c r="R69" s="182">
        <f>pH_Sal!D59</f>
        <v>40.270000000000003</v>
      </c>
      <c r="S69" s="182">
        <f>pH_Sal!K59</f>
        <v>8.6</v>
      </c>
      <c r="T69" s="184">
        <f>'Traps and Logs'!U148</f>
        <v>44222</v>
      </c>
      <c r="U69" s="184">
        <f>'Traps and Logs'!U149</f>
        <v>44232</v>
      </c>
      <c r="V69" s="185">
        <f t="shared" si="24"/>
        <v>44227</v>
      </c>
      <c r="W69" s="183">
        <f t="shared" si="20"/>
        <v>150</v>
      </c>
      <c r="X69" s="183">
        <f t="shared" si="29"/>
        <v>140</v>
      </c>
      <c r="AB69">
        <f>'BSi raw data and calculations'!S96</f>
        <v>7.403100659887496</v>
      </c>
      <c r="AC69">
        <f>'BSi raw data and calculations'!T96</f>
        <v>15.836679197317183</v>
      </c>
      <c r="AF69" s="182">
        <f>'PIC data'!AF64</f>
        <v>67.498158357656479</v>
      </c>
      <c r="AG69" s="182">
        <f t="shared" si="25"/>
        <v>8.099490361630286</v>
      </c>
      <c r="AH69" s="182">
        <f t="shared" si="26"/>
        <v>4.2111690469390499</v>
      </c>
      <c r="AI69" s="182">
        <f t="shared" si="27"/>
        <v>98.041444169944455</v>
      </c>
      <c r="AJ69" s="125"/>
      <c r="AK69" s="182">
        <f t="shared" si="28"/>
        <v>8.4304831314701527</v>
      </c>
    </row>
    <row r="70" spans="1:37">
      <c r="A70" s="51">
        <v>2020</v>
      </c>
      <c r="B70" s="51" t="s">
        <v>109</v>
      </c>
      <c r="C70">
        <v>16</v>
      </c>
      <c r="D70" s="51">
        <f>'sample processing comments'!D69</f>
        <v>7</v>
      </c>
      <c r="E70" s="371">
        <f>'mass filt'!V75</f>
        <v>433.32857142857142</v>
      </c>
      <c r="F70" s="51">
        <v>0.5</v>
      </c>
      <c r="G70" s="51" t="str">
        <f>'sample processing comments'!H69</f>
        <v>IN2020_V09, UTC 29/08/20 UTC 03:19, #4, ~10L + 10g Borate, -46˚ 897 142˚404</v>
      </c>
      <c r="H70" s="183">
        <f t="shared" si="21"/>
        <v>10</v>
      </c>
      <c r="I70" s="182">
        <f t="shared" si="22"/>
        <v>86.665714285714287</v>
      </c>
      <c r="J70" s="182">
        <f t="shared" si="23"/>
        <v>31.654652142857145</v>
      </c>
      <c r="M70" s="125">
        <f>AVERAGE('CHN raw data'!C22,'CHN raw data'!C30)</f>
        <v>12.324150085449219</v>
      </c>
      <c r="N70" s="125">
        <f>AVERAGE('CHN raw data'!D22,'CHN raw data'!D30)</f>
        <v>0.48137548565864563</v>
      </c>
      <c r="O70" s="125">
        <f>AVERAGE('CHN raw data'!E22,'CHN raw data'!E30)</f>
        <v>0.46750256419181824</v>
      </c>
      <c r="R70" s="182">
        <f>pH_Sal!D60</f>
        <v>40.270000000000003</v>
      </c>
      <c r="S70" s="182">
        <f>pH_Sal!K60</f>
        <v>8.57</v>
      </c>
      <c r="T70" s="184">
        <f>'Traps and Logs'!U149</f>
        <v>44232</v>
      </c>
      <c r="U70" s="184">
        <f>'Traps and Logs'!U150</f>
        <v>44242</v>
      </c>
      <c r="V70" s="185">
        <f t="shared" si="24"/>
        <v>44237</v>
      </c>
      <c r="W70" s="183">
        <f t="shared" si="20"/>
        <v>160</v>
      </c>
      <c r="X70" s="183">
        <f t="shared" si="29"/>
        <v>150</v>
      </c>
      <c r="AB70">
        <f>'BSi raw data and calculations'!S97</f>
        <v>5.4052096726053804</v>
      </c>
      <c r="AC70">
        <f>'BSi raw data and calculations'!T97</f>
        <v>11.562799901276517</v>
      </c>
      <c r="AF70" s="182">
        <f>'PIC data'!AF65</f>
        <v>74.282609667105106</v>
      </c>
      <c r="AG70" s="182">
        <f t="shared" si="25"/>
        <v>8.9135955065241532</v>
      </c>
      <c r="AH70" s="182">
        <f t="shared" si="26"/>
        <v>3.4105545789250655</v>
      </c>
      <c r="AI70" s="182">
        <f t="shared" si="27"/>
        <v>98.320537631157194</v>
      </c>
      <c r="AJ70" s="125"/>
      <c r="AK70" s="182">
        <f t="shared" si="28"/>
        <v>8.5101288272770219</v>
      </c>
    </row>
    <row r="71" spans="1:37">
      <c r="A71" s="51">
        <v>2020</v>
      </c>
      <c r="B71" s="51" t="s">
        <v>109</v>
      </c>
      <c r="C71">
        <v>17</v>
      </c>
      <c r="D71" s="51">
        <f>'sample processing comments'!D70</f>
        <v>4</v>
      </c>
      <c r="E71" s="371">
        <f>'mass filt'!V76</f>
        <v>280.01428571428568</v>
      </c>
      <c r="F71" s="51">
        <v>0.5</v>
      </c>
      <c r="G71" s="51" t="str">
        <f>'sample processing comments'!H70</f>
        <v>IN2020_V09, UTC 29/08/20 UTC 03:19, #4, ~10L + 10g Borate, -46˚ 897 142˚404</v>
      </c>
      <c r="H71" s="183">
        <f t="shared" si="21"/>
        <v>10</v>
      </c>
      <c r="I71" s="182">
        <f t="shared" si="22"/>
        <v>56.002857142857138</v>
      </c>
      <c r="J71" s="182">
        <f t="shared" si="23"/>
        <v>20.455043571428568</v>
      </c>
      <c r="M71" s="125">
        <f>'CHN raw data'!C24</f>
        <v>12.596179008483887</v>
      </c>
      <c r="N71" s="125">
        <f>'CHN raw data'!D24</f>
        <v>0.48576745390892029</v>
      </c>
      <c r="O71" s="125">
        <f>'CHN raw data'!E24</f>
        <v>0.53989666700363159</v>
      </c>
      <c r="R71" s="182">
        <f>pH_Sal!D61</f>
        <v>40.369999999999997</v>
      </c>
      <c r="S71" s="182">
        <f>pH_Sal!K61</f>
        <v>8.5299999999999994</v>
      </c>
      <c r="T71" s="184">
        <f>'Traps and Logs'!U150</f>
        <v>44242</v>
      </c>
      <c r="U71" s="184">
        <f>'Traps and Logs'!U151</f>
        <v>44252</v>
      </c>
      <c r="V71" s="185">
        <f t="shared" si="24"/>
        <v>44247</v>
      </c>
      <c r="W71" s="183">
        <f t="shared" si="20"/>
        <v>170</v>
      </c>
      <c r="X71" s="183">
        <f t="shared" si="29"/>
        <v>160</v>
      </c>
      <c r="AB71">
        <f>'BSi raw data and calculations'!S98</f>
        <v>5.0650774797338638</v>
      </c>
      <c r="AC71">
        <f>'BSi raw data and calculations'!T98</f>
        <v>10.835190664193945</v>
      </c>
      <c r="AF71" s="182">
        <f>'PIC data'!AF66</f>
        <v>74.195753070112701</v>
      </c>
      <c r="AG71" s="182">
        <f t="shared" si="25"/>
        <v>8.9031730863085325</v>
      </c>
      <c r="AH71" s="182">
        <f t="shared" si="26"/>
        <v>3.6930059221753542</v>
      </c>
      <c r="AI71" s="182">
        <f t="shared" si="27"/>
        <v>98.04742773615375</v>
      </c>
      <c r="AJ71" s="125"/>
      <c r="AK71" s="182">
        <f t="shared" si="28"/>
        <v>7.9792943392290958</v>
      </c>
    </row>
    <row r="72" spans="1:37">
      <c r="A72" s="51">
        <v>2020</v>
      </c>
      <c r="B72" s="51" t="s">
        <v>109</v>
      </c>
      <c r="C72">
        <v>18</v>
      </c>
      <c r="D72" s="51">
        <f>'sample processing comments'!D71</f>
        <v>4</v>
      </c>
      <c r="E72" s="371">
        <f>'mass filt'!V77</f>
        <v>351.8857142857143</v>
      </c>
      <c r="F72" s="51">
        <v>0.5</v>
      </c>
      <c r="G72" s="51" t="str">
        <f>'sample processing comments'!H71</f>
        <v>IN2020_V09, UTC 29/08/20 UTC 03:19, #4, ~10L + 10g Borate, -46˚ 897 142˚404</v>
      </c>
      <c r="H72" s="183">
        <f t="shared" si="21"/>
        <v>10</v>
      </c>
      <c r="I72" s="182">
        <f t="shared" si="22"/>
        <v>70.377142857142857</v>
      </c>
      <c r="J72" s="182">
        <f t="shared" si="23"/>
        <v>25.705251428571433</v>
      </c>
      <c r="M72" s="125">
        <f>'CHN raw data'!C25</f>
        <v>12.922277450561523</v>
      </c>
      <c r="N72" s="125">
        <f>'CHN raw data'!D25</f>
        <v>0.55919790267944336</v>
      </c>
      <c r="O72" s="125">
        <f>'CHN raw data'!E25</f>
        <v>0.5759199857711792</v>
      </c>
      <c r="R72" s="182">
        <f>pH_Sal!D62</f>
        <v>40.200000000000003</v>
      </c>
      <c r="S72" s="182">
        <f>pH_Sal!K62</f>
        <v>8.61</v>
      </c>
      <c r="T72" s="184">
        <f>'Traps and Logs'!U151</f>
        <v>44252</v>
      </c>
      <c r="U72" s="184">
        <f>'Traps and Logs'!U152</f>
        <v>44262</v>
      </c>
      <c r="V72" s="185">
        <f t="shared" si="24"/>
        <v>44257</v>
      </c>
      <c r="W72" s="183">
        <f t="shared" si="20"/>
        <v>180</v>
      </c>
      <c r="X72" s="183">
        <f t="shared" si="29"/>
        <v>170</v>
      </c>
      <c r="AB72">
        <f>'BSi raw data and calculations'!S99</f>
        <v>4.8718932748538011</v>
      </c>
      <c r="AC72">
        <f>'BSi raw data and calculations'!T99</f>
        <v>10.421931893412777</v>
      </c>
      <c r="AF72" s="182">
        <f>'PIC data'!AF67</f>
        <v>73.834164289511506</v>
      </c>
      <c r="AG72" s="182">
        <f t="shared" si="25"/>
        <v>8.8597839788926738</v>
      </c>
      <c r="AH72" s="182">
        <f t="shared" si="26"/>
        <v>4.0624934716688497</v>
      </c>
      <c r="AI72" s="182">
        <f t="shared" si="27"/>
        <v>98.03999432887116</v>
      </c>
      <c r="AJ72" s="125"/>
      <c r="AK72" s="182">
        <f t="shared" si="28"/>
        <v>8.2285943683676344</v>
      </c>
    </row>
    <row r="73" spans="1:37">
      <c r="A73" s="51">
        <v>2020</v>
      </c>
      <c r="B73" s="51" t="s">
        <v>109</v>
      </c>
      <c r="C73">
        <v>19</v>
      </c>
      <c r="D73" s="51">
        <f>'sample processing comments'!D72</f>
        <v>2</v>
      </c>
      <c r="E73" s="371">
        <f>'mass filt'!V78</f>
        <v>242.38571428571424</v>
      </c>
      <c r="F73" s="51">
        <v>0.5</v>
      </c>
      <c r="G73" s="51" t="str">
        <f>'sample processing comments'!H72</f>
        <v>IN2020_V09, UTC 29/08/20 UTC 03:19, #4, ~10L + 10g Borate, -46˚ 897 142˚404</v>
      </c>
      <c r="H73" s="183">
        <f t="shared" si="21"/>
        <v>10</v>
      </c>
      <c r="I73" s="182">
        <f t="shared" si="22"/>
        <v>48.477142857142852</v>
      </c>
      <c r="J73" s="182">
        <f t="shared" si="23"/>
        <v>17.706276428571424</v>
      </c>
      <c r="M73" s="125">
        <f>'CHN raw data'!C26</f>
        <v>12.463933944702148</v>
      </c>
      <c r="N73" s="125">
        <f>'CHN raw data'!D26</f>
        <v>0.47650086879730225</v>
      </c>
      <c r="O73" s="125">
        <f>'CHN raw data'!E26</f>
        <v>0.47997963428497314</v>
      </c>
      <c r="R73" s="182">
        <f>pH_Sal!D63</f>
        <v>40.229999999999997</v>
      </c>
      <c r="S73" s="182">
        <f>pH_Sal!K63</f>
        <v>8.59</v>
      </c>
      <c r="T73" s="184">
        <f>'Traps and Logs'!U152</f>
        <v>44262</v>
      </c>
      <c r="U73" s="184">
        <f>'Traps and Logs'!U153</f>
        <v>44272</v>
      </c>
      <c r="V73" s="185">
        <f t="shared" si="24"/>
        <v>44267</v>
      </c>
      <c r="W73" s="183">
        <f t="shared" si="20"/>
        <v>190</v>
      </c>
      <c r="X73" s="183">
        <f t="shared" si="29"/>
        <v>180</v>
      </c>
      <c r="AB73">
        <f>'BSi raw data and calculations'!S100</f>
        <v>4.6810468183484746</v>
      </c>
      <c r="AC73">
        <f>'BSi raw data and calculations'!T100</f>
        <v>10.013674023302238</v>
      </c>
      <c r="AF73" s="182">
        <f>'PIC data'!AF68</f>
        <v>73.945311417968867</v>
      </c>
      <c r="AG73" s="182">
        <f t="shared" si="25"/>
        <v>8.8731211590108803</v>
      </c>
      <c r="AH73" s="182">
        <f t="shared" si="26"/>
        <v>3.5908127856912682</v>
      </c>
      <c r="AI73" s="182">
        <f t="shared" si="27"/>
        <v>96.660277712355153</v>
      </c>
      <c r="AJ73" s="125"/>
      <c r="AK73" s="182">
        <f t="shared" si="28"/>
        <v>8.7270020962572552</v>
      </c>
    </row>
    <row r="74" spans="1:37">
      <c r="A74" s="51">
        <v>2020</v>
      </c>
      <c r="B74" s="51" t="s">
        <v>109</v>
      </c>
      <c r="C74">
        <v>20</v>
      </c>
      <c r="D74" s="51">
        <f>'sample processing comments'!D73</f>
        <v>3</v>
      </c>
      <c r="E74" s="371">
        <f>'mass filt'!V79</f>
        <v>251.48571428571427</v>
      </c>
      <c r="F74" s="51">
        <v>0.5</v>
      </c>
      <c r="G74" s="51" t="str">
        <f>'sample processing comments'!H73</f>
        <v>IN2020_V09, UTC 29/08/20 UTC 03:19, #4, ~10L + 10g Borate, -46˚ 897 142˚404</v>
      </c>
      <c r="H74" s="183">
        <f t="shared" si="21"/>
        <v>10</v>
      </c>
      <c r="I74" s="182">
        <f t="shared" si="22"/>
        <v>50.297142857142852</v>
      </c>
      <c r="J74" s="182">
        <f t="shared" si="23"/>
        <v>18.371031428571428</v>
      </c>
      <c r="M74" s="125">
        <f>'CHN raw data'!C27</f>
        <v>12.741425514221191</v>
      </c>
      <c r="N74" s="125">
        <f>'CHN raw data'!D27</f>
        <v>0.5522768497467041</v>
      </c>
      <c r="O74" s="125">
        <f>'CHN raw data'!E27</f>
        <v>0.56030535697937012</v>
      </c>
      <c r="R74" s="182">
        <f>pH_Sal!D64</f>
        <v>40.47</v>
      </c>
      <c r="S74" s="182">
        <f>pH_Sal!K64</f>
        <v>8.5500000000000007</v>
      </c>
      <c r="T74" s="184">
        <f>'Traps and Logs'!U153</f>
        <v>44272</v>
      </c>
      <c r="U74" s="184">
        <f>'Traps and Logs'!U154</f>
        <v>44282</v>
      </c>
      <c r="V74" s="185">
        <f t="shared" si="24"/>
        <v>44277</v>
      </c>
      <c r="W74" s="183">
        <f t="shared" si="20"/>
        <v>200</v>
      </c>
      <c r="X74" s="183">
        <f t="shared" si="29"/>
        <v>190</v>
      </c>
      <c r="AB74">
        <f>'BSi raw data and calculations'!S101</f>
        <v>4.7562084125475277</v>
      </c>
      <c r="AC74">
        <f>'BSi raw data and calculations'!T101</f>
        <v>10.174459363117872</v>
      </c>
      <c r="AF74" s="182">
        <f>'PIC data'!AF69</f>
        <v>73.627847786821675</v>
      </c>
      <c r="AG74" s="182">
        <f t="shared" si="25"/>
        <v>8.8350268808378356</v>
      </c>
      <c r="AH74" s="182">
        <f t="shared" si="26"/>
        <v>3.9063986333833558</v>
      </c>
      <c r="AI74" s="182">
        <f t="shared" si="27"/>
        <v>97.215574673325904</v>
      </c>
      <c r="AJ74" s="125"/>
      <c r="AK74" s="182">
        <f t="shared" si="28"/>
        <v>8.1329277186183067</v>
      </c>
    </row>
    <row r="75" spans="1:37">
      <c r="A75" s="51">
        <v>2020</v>
      </c>
      <c r="B75" s="51" t="s">
        <v>109</v>
      </c>
      <c r="C75">
        <v>21</v>
      </c>
      <c r="D75" s="51">
        <f>'sample processing comments'!D74</f>
        <v>3</v>
      </c>
      <c r="E75" s="371">
        <f>'mass filt'!V80</f>
        <v>334.5428571428572</v>
      </c>
      <c r="F75" s="51">
        <v>0.5</v>
      </c>
      <c r="G75" s="51" t="str">
        <f>'sample processing comments'!H74</f>
        <v>IN2020_V09, UTC 29/08/20 UTC 03:19, #4, ~10L + 10g Borate, -46˚ 897 142˚404</v>
      </c>
      <c r="H75" s="183">
        <f t="shared" si="21"/>
        <v>10</v>
      </c>
      <c r="I75" s="182">
        <f t="shared" si="22"/>
        <v>66.908571428571435</v>
      </c>
      <c r="J75" s="182">
        <f t="shared" si="23"/>
        <v>24.43835571428572</v>
      </c>
      <c r="M75" s="125">
        <f>'CHN raw data'!C28</f>
        <v>13.121577262878418</v>
      </c>
      <c r="N75" s="125">
        <f>'CHN raw data'!D28</f>
        <v>0.52559578418731689</v>
      </c>
      <c r="O75" s="125">
        <f>'CHN raw data'!E28</f>
        <v>0.56209111213684082</v>
      </c>
      <c r="R75" s="182">
        <f>pH_Sal!D65</f>
        <v>40.450000000000003</v>
      </c>
      <c r="S75" s="182">
        <f>pH_Sal!K65</f>
        <v>8.57</v>
      </c>
      <c r="T75" s="184">
        <f>'Traps and Logs'!U154</f>
        <v>44282</v>
      </c>
      <c r="U75" s="184">
        <f>'Traps and Logs'!U155</f>
        <v>44292</v>
      </c>
      <c r="V75" s="185">
        <f t="shared" si="24"/>
        <v>44287</v>
      </c>
      <c r="W75" s="183">
        <f t="shared" si="20"/>
        <v>210</v>
      </c>
      <c r="X75" s="183">
        <f t="shared" si="29"/>
        <v>200</v>
      </c>
      <c r="AB75">
        <f>'BSi raw data and calculations'!S102</f>
        <v>3.8195386282289014</v>
      </c>
      <c r="AC75">
        <f>'BSi raw data and calculations'!T102</f>
        <v>8.1707396287032648</v>
      </c>
      <c r="AF75" s="182">
        <f>'PIC data'!AF70</f>
        <v>73.78008246769933</v>
      </c>
      <c r="AG75" s="182">
        <f t="shared" si="25"/>
        <v>8.8532943915444378</v>
      </c>
      <c r="AH75" s="182">
        <f t="shared" si="26"/>
        <v>4.2682828713339802</v>
      </c>
      <c r="AI75" s="182">
        <f t="shared" si="27"/>
        <v>95.939825772494714</v>
      </c>
      <c r="AJ75" s="125"/>
      <c r="AK75" s="182">
        <f t="shared" si="28"/>
        <v>8.8581208969817578</v>
      </c>
    </row>
    <row r="76" spans="1:37">
      <c r="A76" s="127" t="s">
        <v>1735</v>
      </c>
    </row>
    <row r="79" spans="1:37">
      <c r="A79" s="187"/>
      <c r="B79" s="187" t="s">
        <v>1805</v>
      </c>
      <c r="C79" s="31"/>
      <c r="D79" s="188" t="s">
        <v>1806</v>
      </c>
      <c r="E79" s="374"/>
      <c r="F79" s="189"/>
      <c r="G79" s="152"/>
      <c r="H79" s="189"/>
      <c r="I79" s="189"/>
      <c r="J79" s="189"/>
    </row>
    <row r="80" spans="1:37">
      <c r="A80" s="190" t="s">
        <v>105</v>
      </c>
      <c r="B80" s="31"/>
      <c r="C80" s="31"/>
      <c r="D80" s="188">
        <f>COUNT(F7:F27)</f>
        <v>21</v>
      </c>
      <c r="E80" s="374"/>
      <c r="F80" s="191"/>
      <c r="G80" s="152"/>
      <c r="H80" s="191"/>
      <c r="I80" s="189"/>
      <c r="J80" s="189"/>
    </row>
    <row r="81" spans="1:10">
      <c r="A81" s="190" t="s">
        <v>108</v>
      </c>
      <c r="B81" s="31"/>
      <c r="C81" s="31"/>
      <c r="D81" s="188">
        <f>COUNT(F31:F51)</f>
        <v>21</v>
      </c>
      <c r="E81" s="374"/>
      <c r="F81" s="191"/>
      <c r="G81" s="152"/>
      <c r="H81" s="191"/>
      <c r="I81" s="189"/>
      <c r="J81" s="189"/>
    </row>
    <row r="82" spans="1:10">
      <c r="A82" s="190" t="s">
        <v>109</v>
      </c>
      <c r="B82" s="31"/>
      <c r="C82" s="31"/>
      <c r="D82" s="188">
        <f>COUNT(F55:F75)</f>
        <v>21</v>
      </c>
      <c r="E82" s="374"/>
      <c r="F82" s="191"/>
      <c r="G82" s="152"/>
      <c r="H82" s="191"/>
      <c r="I82" s="189"/>
      <c r="J82" s="189"/>
    </row>
    <row r="83" spans="1:10">
      <c r="A83" s="187" t="s">
        <v>1807</v>
      </c>
      <c r="B83" s="31"/>
      <c r="C83" s="31"/>
      <c r="D83" s="179">
        <f>SUM(D80:D82)</f>
        <v>63</v>
      </c>
      <c r="E83" s="374"/>
      <c r="F83" s="189"/>
      <c r="G83" s="152"/>
      <c r="H83" s="189"/>
      <c r="I83" s="189"/>
      <c r="J83" s="191"/>
    </row>
    <row r="84" spans="1:10">
      <c r="A84" s="187" t="s">
        <v>1808</v>
      </c>
      <c r="B84" s="31"/>
      <c r="C84" s="31"/>
      <c r="D84" s="179">
        <f>SUM(D80:D82)</f>
        <v>63</v>
      </c>
      <c r="E84" s="374"/>
      <c r="F84" s="189"/>
      <c r="G84" s="152"/>
      <c r="H84" s="189"/>
      <c r="I84" s="189"/>
      <c r="J84" s="191"/>
    </row>
    <row r="85" spans="1:10">
      <c r="A85" s="31"/>
      <c r="B85" s="31"/>
      <c r="C85" s="31"/>
      <c r="D85" s="179" t="s">
        <v>1809</v>
      </c>
      <c r="E85" s="118" t="s">
        <v>1810</v>
      </c>
      <c r="F85" s="190" t="s">
        <v>37</v>
      </c>
      <c r="G85" s="152"/>
      <c r="H85" s="190"/>
      <c r="I85" s="189"/>
      <c r="J85" s="189"/>
    </row>
    <row r="86" spans="1:10">
      <c r="A86" s="31" t="s">
        <v>1811</v>
      </c>
      <c r="B86" s="31"/>
      <c r="C86" s="190"/>
      <c r="D86" s="179">
        <f>F86-E86</f>
        <v>63</v>
      </c>
      <c r="E86" s="140">
        <v>0</v>
      </c>
      <c r="F86" s="192">
        <f>COUNT(F7:F75)</f>
        <v>63</v>
      </c>
      <c r="G86" s="152"/>
      <c r="H86" s="179"/>
      <c r="I86" s="189"/>
      <c r="J86" s="189"/>
    </row>
    <row r="87" spans="1:10">
      <c r="A87" s="191"/>
      <c r="B87" s="191"/>
      <c r="C87" s="189"/>
      <c r="D87" s="193"/>
      <c r="E87" s="374"/>
      <c r="F87" s="193"/>
      <c r="G87" s="152"/>
      <c r="H87" s="193"/>
      <c r="I87" s="189"/>
      <c r="J87" s="189"/>
    </row>
    <row r="88" spans="1:10">
      <c r="A88" s="191"/>
      <c r="B88" s="191"/>
      <c r="C88" s="191"/>
      <c r="D88" s="193"/>
      <c r="E88" s="118" t="s">
        <v>1812</v>
      </c>
      <c r="F88" s="190" t="s">
        <v>1748</v>
      </c>
      <c r="G88" s="152"/>
      <c r="H88" s="31" t="s">
        <v>1813</v>
      </c>
      <c r="I88" s="190" t="s">
        <v>1814</v>
      </c>
      <c r="J88" s="31" t="s">
        <v>1813</v>
      </c>
    </row>
    <row r="89" spans="1:10">
      <c r="A89" s="191"/>
      <c r="B89" s="191"/>
      <c r="C89" s="191"/>
      <c r="D89" s="193"/>
      <c r="E89" s="118" t="s">
        <v>1815</v>
      </c>
      <c r="F89" s="190" t="s">
        <v>1792</v>
      </c>
      <c r="G89" s="152"/>
      <c r="H89" s="31" t="s">
        <v>1793</v>
      </c>
      <c r="I89" s="190" t="s">
        <v>1795</v>
      </c>
      <c r="J89" s="190" t="s">
        <v>1816</v>
      </c>
    </row>
    <row r="90" spans="1:10">
      <c r="A90" s="190" t="s">
        <v>105</v>
      </c>
      <c r="B90" s="191"/>
      <c r="C90" s="191"/>
      <c r="D90" s="193"/>
      <c r="E90" s="118">
        <f>SUM(E7:E27)</f>
        <v>5921.0071428571418</v>
      </c>
      <c r="F90" s="187">
        <v>0.5</v>
      </c>
      <c r="G90" s="152"/>
      <c r="H90" s="190">
        <f>SUM(H7:H27)</f>
        <v>210</v>
      </c>
      <c r="I90" s="190">
        <f>0.001*365.25*E90/F90/H90</f>
        <v>20.596646275510203</v>
      </c>
      <c r="J90" s="190">
        <f>100*H90/365</f>
        <v>57.534246575342465</v>
      </c>
    </row>
    <row r="91" spans="1:10">
      <c r="A91" s="31" t="s">
        <v>108</v>
      </c>
      <c r="B91" s="191"/>
      <c r="C91" s="191"/>
      <c r="D91" s="193"/>
      <c r="E91" s="118">
        <f>SUM(E31:E51)</f>
        <v>8856.1514285714275</v>
      </c>
      <c r="F91" s="187">
        <v>0.5</v>
      </c>
      <c r="G91" s="152"/>
      <c r="H91" s="190">
        <f>SUM(H31:H51)</f>
        <v>210</v>
      </c>
      <c r="I91" s="190">
        <f>0.001*365.25*E91/F91/H91</f>
        <v>30.80675532653061</v>
      </c>
      <c r="J91" s="190">
        <f>100*H91/365</f>
        <v>57.534246575342465</v>
      </c>
    </row>
    <row r="92" spans="1:10">
      <c r="A92" s="190" t="s">
        <v>109</v>
      </c>
      <c r="B92" s="191"/>
      <c r="C92" s="191"/>
      <c r="D92" s="193"/>
      <c r="E92" s="118">
        <f>SUM(E55:E75)</f>
        <v>7491.9428571428571</v>
      </c>
      <c r="F92" s="187">
        <v>0.5</v>
      </c>
      <c r="G92" s="152"/>
      <c r="H92" s="190">
        <f>SUM(H55:H75)</f>
        <v>210</v>
      </c>
      <c r="I92" s="190">
        <f>0.001*365.25*E92/F92/H92</f>
        <v>26.061258367346941</v>
      </c>
      <c r="J92" s="190">
        <f>100*H92/365</f>
        <v>57.534246575342465</v>
      </c>
    </row>
    <row r="93" spans="1:10">
      <c r="A93" s="191"/>
      <c r="B93" s="191"/>
      <c r="C93" s="191"/>
      <c r="D93" s="193"/>
      <c r="E93" s="374"/>
      <c r="F93" s="189"/>
      <c r="G93" s="152"/>
      <c r="H93" s="189"/>
      <c r="I93" s="189"/>
      <c r="J93" s="189"/>
    </row>
    <row r="94" spans="1:10">
      <c r="A94" s="191"/>
      <c r="B94" s="191"/>
      <c r="C94" s="191"/>
      <c r="D94" s="193"/>
      <c r="E94" s="374"/>
      <c r="F94" s="190"/>
      <c r="G94" s="187"/>
      <c r="H94" s="190"/>
      <c r="I94" s="190"/>
      <c r="J94" s="194"/>
    </row>
    <row r="95" spans="1:10">
      <c r="A95" s="31"/>
      <c r="B95" s="31"/>
      <c r="C95" s="31"/>
      <c r="D95" s="179"/>
      <c r="E95" s="118"/>
      <c r="F95" s="190"/>
      <c r="G95" s="187"/>
      <c r="H95" s="190"/>
      <c r="I95" s="190"/>
      <c r="J95" s="194"/>
    </row>
    <row r="96" spans="1:10">
      <c r="A96" s="31"/>
      <c r="B96" s="124"/>
      <c r="C96" s="124"/>
      <c r="D96" s="195"/>
      <c r="E96" s="375"/>
      <c r="F96" s="196"/>
      <c r="G96" s="197"/>
      <c r="H96" s="198"/>
      <c r="I96" s="199"/>
      <c r="J96" s="194"/>
    </row>
  </sheetData>
  <conditionalFormatting sqref="AI7:AI27">
    <cfRule type="cellIs" dxfId="5" priority="4" operator="greaterThan">
      <formula>110</formula>
    </cfRule>
    <cfRule type="cellIs" dxfId="4" priority="3" operator="lessThan">
      <formula>90</formula>
    </cfRule>
  </conditionalFormatting>
  <conditionalFormatting sqref="AI31:AI51">
    <cfRule type="cellIs" dxfId="3" priority="2" operator="greaterThan">
      <formula>110</formula>
    </cfRule>
    <cfRule type="cellIs" dxfId="2" priority="1" operator="lessThan">
      <formula>90</formula>
    </cfRule>
  </conditionalFormatting>
  <conditionalFormatting sqref="AI55:AI75">
    <cfRule type="cellIs" dxfId="1" priority="5" operator="lessThan">
      <formula>90</formula>
    </cfRule>
    <cfRule type="cellIs" dxfId="0" priority="6" operator="greaterThan">
      <formula>110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65C09-BDB2-4774-899D-A1133C93F165}">
  <dimension ref="A1:BD68"/>
  <sheetViews>
    <sheetView zoomScale="80" zoomScaleNormal="80" workbookViewId="0">
      <selection activeCell="F6" sqref="F6:F68"/>
    </sheetView>
  </sheetViews>
  <sheetFormatPr defaultRowHeight="15"/>
  <cols>
    <col min="2" max="2" width="76.85546875" bestFit="1" customWidth="1"/>
    <col min="4" max="4" width="76.140625" bestFit="1" customWidth="1"/>
    <col min="10" max="10" width="13.28515625" bestFit="1" customWidth="1"/>
    <col min="13" max="13" width="11.140625" bestFit="1" customWidth="1"/>
    <col min="15" max="15" width="10.42578125" bestFit="1" customWidth="1"/>
    <col min="17" max="17" width="10.42578125" bestFit="1" customWidth="1"/>
    <col min="19" max="19" width="12.28515625" bestFit="1" customWidth="1"/>
    <col min="21" max="21" width="3.7109375" customWidth="1"/>
    <col min="29" max="30" width="11" bestFit="1" customWidth="1"/>
    <col min="31" max="31" width="24.85546875" bestFit="1" customWidth="1"/>
    <col min="42" max="42" width="3.7109375" customWidth="1"/>
    <col min="44" max="44" width="3.7109375" customWidth="1"/>
    <col min="46" max="46" width="3.7109375" customWidth="1"/>
    <col min="48" max="48" width="3.7109375" customWidth="1"/>
    <col min="50" max="50" width="3.7109375" customWidth="1"/>
  </cols>
  <sheetData>
    <row r="1" spans="1:56" s="127" customFormat="1">
      <c r="A1" s="127" t="s">
        <v>2254</v>
      </c>
      <c r="B1" s="127" t="s">
        <v>164</v>
      </c>
      <c r="C1" s="127" t="s">
        <v>163</v>
      </c>
      <c r="D1" s="127" t="s">
        <v>24</v>
      </c>
      <c r="E1" s="127" t="s">
        <v>1729</v>
      </c>
      <c r="F1" s="428" t="s">
        <v>2255</v>
      </c>
      <c r="G1" s="127" t="s">
        <v>2256</v>
      </c>
      <c r="H1" s="127" t="s">
        <v>2257</v>
      </c>
      <c r="I1" s="127" t="s">
        <v>2257</v>
      </c>
      <c r="J1" s="428" t="s">
        <v>1752</v>
      </c>
      <c r="K1" s="127" t="s">
        <v>1764</v>
      </c>
      <c r="L1" s="127" t="s">
        <v>1765</v>
      </c>
      <c r="M1" s="428" t="s">
        <v>2258</v>
      </c>
      <c r="N1" s="127" t="s">
        <v>1774</v>
      </c>
      <c r="O1" s="428" t="s">
        <v>2259</v>
      </c>
      <c r="P1" s="127" t="s">
        <v>1775</v>
      </c>
      <c r="Q1" s="428" t="s">
        <v>2260</v>
      </c>
      <c r="R1" s="127" t="s">
        <v>1766</v>
      </c>
      <c r="S1" s="428" t="s">
        <v>2261</v>
      </c>
      <c r="T1" s="127" t="s">
        <v>1779</v>
      </c>
      <c r="U1" s="428" t="s">
        <v>2262</v>
      </c>
      <c r="V1" s="127" t="s">
        <v>1780</v>
      </c>
      <c r="W1" s="127" t="s">
        <v>1764</v>
      </c>
      <c r="X1" s="127" t="s">
        <v>1765</v>
      </c>
      <c r="Y1" s="127" t="s">
        <v>1774</v>
      </c>
      <c r="Z1" s="127" t="s">
        <v>1775</v>
      </c>
      <c r="AA1" s="127" t="s">
        <v>1766</v>
      </c>
      <c r="AB1" s="127" t="s">
        <v>1780</v>
      </c>
      <c r="AC1" s="429" t="s">
        <v>1750</v>
      </c>
      <c r="AD1" s="429" t="s">
        <v>1750</v>
      </c>
      <c r="AE1" s="429" t="s">
        <v>1750</v>
      </c>
      <c r="AF1" s="127" t="s">
        <v>1750</v>
      </c>
      <c r="AG1" s="127" t="s">
        <v>1779</v>
      </c>
      <c r="AH1" s="127" t="s">
        <v>2263</v>
      </c>
      <c r="AI1" s="127" t="s">
        <v>2264</v>
      </c>
      <c r="AJ1" s="127" t="s">
        <v>2265</v>
      </c>
      <c r="AK1" s="127" t="s">
        <v>2266</v>
      </c>
      <c r="AL1" s="127" t="s">
        <v>2267</v>
      </c>
      <c r="AM1" s="430" t="s">
        <v>23</v>
      </c>
      <c r="AO1" s="127" t="s">
        <v>2263</v>
      </c>
      <c r="AP1" s="428" t="s">
        <v>2268</v>
      </c>
      <c r="AQ1" s="127" t="s">
        <v>2264</v>
      </c>
      <c r="AR1" s="428" t="s">
        <v>2269</v>
      </c>
      <c r="AS1" s="127" t="s">
        <v>2265</v>
      </c>
      <c r="AT1" s="428" t="s">
        <v>2270</v>
      </c>
      <c r="AU1" s="127" t="s">
        <v>2266</v>
      </c>
      <c r="AV1" s="428" t="s">
        <v>2271</v>
      </c>
      <c r="AW1" s="127" t="s">
        <v>2267</v>
      </c>
      <c r="AX1" s="428" t="s">
        <v>2272</v>
      </c>
      <c r="AY1" s="127" t="s">
        <v>1769</v>
      </c>
      <c r="AZ1" s="127" t="s">
        <v>2273</v>
      </c>
      <c r="BA1" s="127" t="s">
        <v>2274</v>
      </c>
      <c r="BB1" s="428" t="s">
        <v>2275</v>
      </c>
      <c r="BC1" s="127" t="s">
        <v>1724</v>
      </c>
      <c r="BD1" s="428" t="s">
        <v>2276</v>
      </c>
    </row>
    <row r="2" spans="1:56" s="376" customFormat="1">
      <c r="A2" s="376" t="s">
        <v>2277</v>
      </c>
      <c r="E2" s="376" t="s">
        <v>2278</v>
      </c>
      <c r="F2" s="233"/>
      <c r="H2" s="376" t="s">
        <v>1814</v>
      </c>
      <c r="I2" s="376" t="s">
        <v>1814</v>
      </c>
      <c r="J2" s="233"/>
      <c r="K2" s="376" t="s">
        <v>1761</v>
      </c>
      <c r="L2" s="376" t="s">
        <v>1761</v>
      </c>
      <c r="M2" s="233"/>
      <c r="N2" s="376" t="s">
        <v>1761</v>
      </c>
      <c r="O2" s="233"/>
      <c r="P2" s="376" t="s">
        <v>1761</v>
      </c>
      <c r="Q2" s="233"/>
      <c r="R2" s="376" t="s">
        <v>1761</v>
      </c>
      <c r="S2" s="233"/>
      <c r="T2" s="376" t="s">
        <v>1761</v>
      </c>
      <c r="U2" s="233"/>
      <c r="V2" s="376" t="s">
        <v>1761</v>
      </c>
      <c r="W2" s="376" t="s">
        <v>1814</v>
      </c>
      <c r="X2" s="376" t="s">
        <v>1814</v>
      </c>
      <c r="Y2" s="376" t="s">
        <v>1814</v>
      </c>
      <c r="Z2" s="376" t="s">
        <v>1814</v>
      </c>
      <c r="AA2" s="376" t="s">
        <v>1814</v>
      </c>
      <c r="AB2" s="376" t="s">
        <v>1814</v>
      </c>
      <c r="AC2" s="376" t="s">
        <v>2279</v>
      </c>
      <c r="AD2" s="376" t="s">
        <v>2280</v>
      </c>
      <c r="AE2" s="376" t="s">
        <v>2281</v>
      </c>
      <c r="AF2" s="376" t="s">
        <v>2282</v>
      </c>
      <c r="AG2" s="376" t="s">
        <v>1814</v>
      </c>
      <c r="AH2" s="376" t="s">
        <v>2283</v>
      </c>
      <c r="AI2" s="376" t="s">
        <v>2284</v>
      </c>
      <c r="AJ2" s="376" t="s">
        <v>2285</v>
      </c>
      <c r="AK2" s="376" t="s">
        <v>2286</v>
      </c>
      <c r="AL2" s="376" t="s">
        <v>2287</v>
      </c>
      <c r="AM2" s="332" t="s">
        <v>2288</v>
      </c>
      <c r="AO2" s="376" t="s">
        <v>2283</v>
      </c>
      <c r="AP2" s="233"/>
      <c r="AQ2" s="376" t="s">
        <v>2284</v>
      </c>
      <c r="AR2" s="233"/>
      <c r="AS2" s="376" t="s">
        <v>2285</v>
      </c>
      <c r="AT2" s="233"/>
      <c r="AU2" s="376" t="s">
        <v>2286</v>
      </c>
      <c r="AV2" s="233"/>
      <c r="AW2" s="376" t="s">
        <v>2287</v>
      </c>
      <c r="AX2" s="233"/>
      <c r="BB2" s="233"/>
      <c r="BD2" s="233"/>
    </row>
    <row r="3" spans="1:56" s="376" customFormat="1">
      <c r="F3" s="233"/>
      <c r="G3" s="376" t="s">
        <v>1784</v>
      </c>
      <c r="H3" s="376" t="s">
        <v>1784</v>
      </c>
      <c r="I3" s="376" t="s">
        <v>1784</v>
      </c>
      <c r="J3" s="233"/>
      <c r="K3" s="376" t="s">
        <v>1784</v>
      </c>
      <c r="L3" s="376" t="s">
        <v>1784</v>
      </c>
      <c r="M3" s="233"/>
      <c r="N3" s="376" t="s">
        <v>1784</v>
      </c>
      <c r="O3" s="233"/>
      <c r="P3" s="376" t="s">
        <v>1784</v>
      </c>
      <c r="Q3" s="233"/>
      <c r="R3" s="376" t="s">
        <v>1784</v>
      </c>
      <c r="S3" s="233"/>
      <c r="T3" s="376" t="s">
        <v>1784</v>
      </c>
      <c r="U3" s="233"/>
      <c r="V3" s="376" t="s">
        <v>1784</v>
      </c>
      <c r="W3" s="376" t="s">
        <v>1784</v>
      </c>
      <c r="X3" s="376" t="s">
        <v>1784</v>
      </c>
      <c r="Y3" s="376" t="s">
        <v>1784</v>
      </c>
      <c r="Z3" s="376" t="s">
        <v>1784</v>
      </c>
      <c r="AA3" s="376" t="s">
        <v>1784</v>
      </c>
      <c r="AB3" s="376" t="s">
        <v>1784</v>
      </c>
      <c r="AE3" s="376">
        <v>1</v>
      </c>
      <c r="AG3" s="376" t="s">
        <v>1784</v>
      </c>
      <c r="AH3" s="376" t="s">
        <v>2289</v>
      </c>
      <c r="AI3" s="376" t="s">
        <v>2289</v>
      </c>
      <c r="AJ3" s="376" t="s">
        <v>2289</v>
      </c>
      <c r="AK3" s="376" t="s">
        <v>2289</v>
      </c>
      <c r="AL3" s="376" t="s">
        <v>2289</v>
      </c>
      <c r="AM3" s="332" t="s">
        <v>2290</v>
      </c>
      <c r="AO3" s="376" t="s">
        <v>2291</v>
      </c>
      <c r="AP3" s="233"/>
      <c r="AQ3" s="376" t="s">
        <v>2291</v>
      </c>
      <c r="AR3" s="233"/>
      <c r="AS3" s="376" t="s">
        <v>2291</v>
      </c>
      <c r="AT3" s="233"/>
      <c r="AU3" s="376" t="s">
        <v>2291</v>
      </c>
      <c r="AV3" s="233"/>
      <c r="AW3" s="376" t="s">
        <v>2291</v>
      </c>
      <c r="AX3" s="233"/>
      <c r="AY3" s="376" t="s">
        <v>2292</v>
      </c>
      <c r="BB3" s="233"/>
      <c r="BD3" s="233"/>
    </row>
    <row r="4" spans="1:56" s="376" customFormat="1">
      <c r="E4" s="376" t="s">
        <v>2293</v>
      </c>
      <c r="F4" s="233"/>
      <c r="G4" s="376" t="s">
        <v>153</v>
      </c>
      <c r="H4" s="376" t="s">
        <v>1794</v>
      </c>
      <c r="I4" s="376" t="s">
        <v>1795</v>
      </c>
      <c r="J4" s="233"/>
      <c r="K4" s="376" t="s">
        <v>1799</v>
      </c>
      <c r="L4" s="376" t="s">
        <v>1799</v>
      </c>
      <c r="M4" s="233"/>
      <c r="N4" s="376" t="s">
        <v>1799</v>
      </c>
      <c r="O4" s="233"/>
      <c r="P4" s="376" t="s">
        <v>1799</v>
      </c>
      <c r="Q4" s="233"/>
      <c r="R4" s="376" t="s">
        <v>1799</v>
      </c>
      <c r="S4" s="233"/>
      <c r="T4" s="376" t="s">
        <v>1799</v>
      </c>
      <c r="U4" s="233"/>
      <c r="V4" s="376" t="s">
        <v>1799</v>
      </c>
      <c r="W4" s="376" t="s">
        <v>1795</v>
      </c>
      <c r="X4" s="376" t="s">
        <v>1795</v>
      </c>
      <c r="Y4" s="376" t="s">
        <v>1795</v>
      </c>
      <c r="Z4" s="376" t="s">
        <v>1795</v>
      </c>
      <c r="AA4" s="376" t="s">
        <v>1795</v>
      </c>
      <c r="AB4" s="376" t="s">
        <v>1795</v>
      </c>
      <c r="AC4" s="376" t="s">
        <v>1732</v>
      </c>
      <c r="AD4" s="376" t="s">
        <v>1732</v>
      </c>
      <c r="AE4" s="376" t="s">
        <v>2294</v>
      </c>
      <c r="AF4" s="376" t="s">
        <v>1793</v>
      </c>
      <c r="AG4" s="376" t="s">
        <v>1795</v>
      </c>
      <c r="AH4" s="376" t="s">
        <v>1784</v>
      </c>
      <c r="AI4" s="376" t="s">
        <v>1784</v>
      </c>
      <c r="AJ4" s="376" t="s">
        <v>1784</v>
      </c>
      <c r="AK4" s="376" t="s">
        <v>1784</v>
      </c>
      <c r="AL4" s="376" t="s">
        <v>1784</v>
      </c>
      <c r="AM4" s="332"/>
      <c r="AO4" s="376" t="s">
        <v>1784</v>
      </c>
      <c r="AP4" s="233"/>
      <c r="AQ4" s="376" t="s">
        <v>1784</v>
      </c>
      <c r="AR4" s="233"/>
      <c r="AS4" s="376" t="s">
        <v>1784</v>
      </c>
      <c r="AT4" s="233"/>
      <c r="AU4" s="376" t="s">
        <v>1784</v>
      </c>
      <c r="AV4" s="233"/>
      <c r="AW4" s="376" t="s">
        <v>1784</v>
      </c>
      <c r="AX4" s="233"/>
      <c r="BB4" s="233"/>
      <c r="BD4" s="233"/>
    </row>
    <row r="5" spans="1:56" s="376" customFormat="1">
      <c r="F5" s="233"/>
      <c r="J5" s="233"/>
      <c r="M5" s="233"/>
      <c r="O5" s="233"/>
      <c r="Q5" s="233"/>
      <c r="S5" s="233"/>
      <c r="U5" s="233"/>
      <c r="AM5" s="332"/>
      <c r="AP5" s="233"/>
      <c r="AR5" s="233"/>
      <c r="AT5" s="233"/>
      <c r="AV5" s="233"/>
      <c r="AX5" s="233"/>
      <c r="BB5" s="233"/>
      <c r="BD5" s="233"/>
    </row>
    <row r="6" spans="1:56" s="376" customFormat="1">
      <c r="A6" s="376">
        <f>main!A7</f>
        <v>2020</v>
      </c>
      <c r="B6" s="376" t="str">
        <f>main!B7</f>
        <v>47_1000</v>
      </c>
      <c r="C6" s="376">
        <v>1</v>
      </c>
      <c r="D6" s="376" t="str">
        <f>main!$B$6</f>
        <v>McLane-PARFLUX-Mark78H-21 ; frame# 12419-01, controller# 12419-01 and Motor # 12419-01 Cup set AAx21</v>
      </c>
      <c r="E6" s="376">
        <v>1000</v>
      </c>
      <c r="F6" s="233">
        <v>1</v>
      </c>
      <c r="G6" s="151">
        <f>main!E7</f>
        <v>228.17142857142858</v>
      </c>
      <c r="H6" s="125">
        <f>main!I7</f>
        <v>45.634285714285717</v>
      </c>
      <c r="I6" s="155">
        <f>main!J7</f>
        <v>16.667922857142859</v>
      </c>
      <c r="J6" s="431">
        <v>1</v>
      </c>
      <c r="K6" s="155">
        <f>main!AF7</f>
        <v>61.270451603008603</v>
      </c>
      <c r="L6" s="155">
        <f>main!AG7</f>
        <v>7.3521921825147283</v>
      </c>
      <c r="M6" s="431">
        <v>1</v>
      </c>
      <c r="N6" s="155">
        <f>main!M7</f>
        <v>16.027847290039063</v>
      </c>
      <c r="O6" s="431">
        <v>1</v>
      </c>
      <c r="P6" s="155">
        <f>main!O7</f>
        <v>1.3819912672042847</v>
      </c>
      <c r="Q6" s="431">
        <v>1</v>
      </c>
      <c r="R6" s="155">
        <f>main!AH7</f>
        <v>8.6756551075243351</v>
      </c>
      <c r="S6" s="431">
        <v>1</v>
      </c>
      <c r="T6" s="155">
        <f>main!AB7</f>
        <v>4.9218101598604171</v>
      </c>
      <c r="U6" s="431">
        <v>1</v>
      </c>
      <c r="V6" s="155">
        <f>main!AC7</f>
        <v>10.528713866358579</v>
      </c>
      <c r="W6" s="155">
        <f>(K6/100)*$I6</f>
        <v>10.212511607412523</v>
      </c>
      <c r="X6" s="155">
        <f t="shared" ref="X6" si="0">(L6/100)*$I6</f>
        <v>1.2254577212904429</v>
      </c>
      <c r="Y6" s="155">
        <f>(N6/100)*$I6</f>
        <v>2.671509221964373</v>
      </c>
      <c r="Z6" s="155">
        <f>(P6/100)*$I6</f>
        <v>0.23034923831006121</v>
      </c>
      <c r="AA6" s="155">
        <f>(R6/100)*$I6</f>
        <v>1.4460515006739305</v>
      </c>
      <c r="AB6" s="155">
        <f>(V6/100)*$I6</f>
        <v>1.7549179050939514</v>
      </c>
      <c r="AC6" s="139">
        <f>main!T7</f>
        <v>44082</v>
      </c>
      <c r="AD6" s="139">
        <f>main!U7</f>
        <v>44092</v>
      </c>
      <c r="AE6" s="139">
        <f>main!V7</f>
        <v>44087</v>
      </c>
      <c r="AF6" s="151">
        <f>main!H7</f>
        <v>10</v>
      </c>
      <c r="AG6" s="125">
        <f>(T6/100)*$I6</f>
        <v>0.82036352062055395</v>
      </c>
      <c r="AH6" s="125">
        <f>Y6/12.01</f>
        <v>0.22244040149578459</v>
      </c>
      <c r="AI6" s="125">
        <f>Z6/14.01</f>
        <v>1.6441772898648194E-2</v>
      </c>
      <c r="AJ6" s="125">
        <f>AA6/12.01</f>
        <v>0.1204039550935829</v>
      </c>
      <c r="AK6" s="125">
        <f>X6/12.01</f>
        <v>0.10203644640220175</v>
      </c>
      <c r="AL6" s="125">
        <f>AG6/28.09</f>
        <v>2.9204824514793663E-2</v>
      </c>
      <c r="AM6" s="432">
        <f>depths!$B$2</f>
        <v>995.00000000000011</v>
      </c>
      <c r="AO6" s="155">
        <f>AH6*1000</f>
        <v>222.44040149578458</v>
      </c>
      <c r="AP6" s="431">
        <v>1</v>
      </c>
      <c r="AQ6" s="155">
        <f>AI6*1000</f>
        <v>16.441772898648196</v>
      </c>
      <c r="AR6" s="431">
        <v>1</v>
      </c>
      <c r="AS6" s="155">
        <f>AJ6*1000</f>
        <v>120.40395509358289</v>
      </c>
      <c r="AT6" s="431">
        <v>1</v>
      </c>
      <c r="AU6" s="155">
        <f>AK6*1000</f>
        <v>102.03644640220175</v>
      </c>
      <c r="AV6" s="431">
        <v>1</v>
      </c>
      <c r="AW6" s="155">
        <f>AL6*1000</f>
        <v>29.204824514793664</v>
      </c>
      <c r="AX6" s="431">
        <v>1</v>
      </c>
      <c r="AY6" s="155">
        <f>AS6/AQ6</f>
        <v>7.3230518287649033</v>
      </c>
      <c r="AZ6" s="155">
        <f>AU6/AQ6</f>
        <v>6.2059272458744967</v>
      </c>
      <c r="BA6" s="155">
        <f>main!R7</f>
        <v>39.840000000000003</v>
      </c>
      <c r="BB6" s="431">
        <v>1</v>
      </c>
      <c r="BC6" s="155">
        <f>main!S7</f>
        <v>8.42</v>
      </c>
      <c r="BD6" s="431">
        <v>1</v>
      </c>
    </row>
    <row r="7" spans="1:56" s="483" customFormat="1">
      <c r="A7" s="483">
        <f>main!A8</f>
        <v>2020</v>
      </c>
      <c r="B7" s="483" t="str">
        <f>main!B8</f>
        <v>47_1000</v>
      </c>
      <c r="C7" s="483">
        <f>main!C8</f>
        <v>2</v>
      </c>
      <c r="D7" s="483" t="str">
        <f>main!$B$6</f>
        <v>McLane-PARFLUX-Mark78H-21 ; frame# 12419-01, controller# 12419-01 and Motor # 12419-01 Cup set AAx21</v>
      </c>
      <c r="E7" s="483">
        <v>1000</v>
      </c>
      <c r="F7" s="233">
        <v>1</v>
      </c>
      <c r="G7" s="484">
        <f>main!E8</f>
        <v>441.54285714285714</v>
      </c>
      <c r="H7" s="485">
        <f>main!I8</f>
        <v>88.308571428571426</v>
      </c>
      <c r="I7" s="486">
        <f>main!J8</f>
        <v>32.25470571428572</v>
      </c>
      <c r="J7" s="486">
        <v>3</v>
      </c>
      <c r="K7" s="486">
        <f>main!AF8</f>
        <v>63.30277781717718</v>
      </c>
      <c r="L7" s="486">
        <f>main!AG8</f>
        <v>7.5960626374110687</v>
      </c>
      <c r="M7" s="486">
        <v>1</v>
      </c>
      <c r="N7" s="486">
        <f>main!M8</f>
        <v>14.433666229248047</v>
      </c>
      <c r="O7" s="486">
        <v>1</v>
      </c>
      <c r="P7" s="486">
        <f>main!O8</f>
        <v>1.0813783407211304</v>
      </c>
      <c r="Q7" s="486">
        <v>1</v>
      </c>
      <c r="R7" s="486">
        <f>main!AH8</f>
        <v>6.8376035918369782</v>
      </c>
      <c r="S7" s="486">
        <v>1</v>
      </c>
      <c r="T7" s="486">
        <f>main!AB8</f>
        <v>5.7586530090995698</v>
      </c>
      <c r="U7" s="486">
        <v>1</v>
      </c>
      <c r="V7" s="486">
        <f>main!AC8</f>
        <v>12.318884276140734</v>
      </c>
      <c r="W7" s="486">
        <f t="shared" ref="W7:W39" si="1">(K7/100)*$I7</f>
        <v>20.41812469389864</v>
      </c>
      <c r="X7" s="486">
        <f t="shared" ref="X7:X40" si="2">(L7/100)*$I7</f>
        <v>2.4500876495697508</v>
      </c>
      <c r="Y7" s="486">
        <f t="shared" ref="Y7:Y39" si="3">(N7/100)*$I7</f>
        <v>4.655536566026198</v>
      </c>
      <c r="Z7" s="486">
        <f t="shared" ref="Z7:Z39" si="4">(P7/100)*$I7</f>
        <v>0.34879540145762655</v>
      </c>
      <c r="AA7" s="486">
        <f t="shared" ref="AA7:AA39" si="5">(R7/100)*$I7</f>
        <v>2.2054489164564477</v>
      </c>
      <c r="AB7" s="486">
        <f t="shared" ref="AB7:AB39" si="6">(V7/100)*$I7</f>
        <v>3.9734198705526107</v>
      </c>
      <c r="AC7" s="487">
        <f>main!T8</f>
        <v>44092</v>
      </c>
      <c r="AD7" s="487">
        <f>main!U8</f>
        <v>44102</v>
      </c>
      <c r="AE7" s="487">
        <f>main!V8</f>
        <v>44097</v>
      </c>
      <c r="AF7" s="484">
        <f>main!H8</f>
        <v>10</v>
      </c>
      <c r="AG7" s="485">
        <f t="shared" ref="AG7:AG39" si="7">(T7/100)*$I7</f>
        <v>1.8574365811919256</v>
      </c>
      <c r="AH7" s="485">
        <f t="shared" ref="AH7:AH39" si="8">Y7/12.01</f>
        <v>0.38763834854506229</v>
      </c>
      <c r="AI7" s="485">
        <f t="shared" ref="AI7:AI39" si="9">Z7/14.01</f>
        <v>2.4896174265355214E-2</v>
      </c>
      <c r="AJ7" s="485">
        <f t="shared" ref="AJ7:AJ39" si="10">AA7/12.01</f>
        <v>0.18363438105382579</v>
      </c>
      <c r="AK7" s="485">
        <f t="shared" ref="AK7:AK39" si="11">X7/12.01</f>
        <v>0.20400396749123653</v>
      </c>
      <c r="AL7" s="485">
        <f t="shared" ref="AL7:AL39" si="12">AG7/28.09</f>
        <v>6.6124477792521383E-2</v>
      </c>
      <c r="AM7" s="486">
        <f>depths!$B$2</f>
        <v>995.00000000000011</v>
      </c>
      <c r="AO7" s="486">
        <f t="shared" ref="AO7:AO39" si="13">AH7*1000</f>
        <v>387.63834854506229</v>
      </c>
      <c r="AP7" s="486">
        <v>3</v>
      </c>
      <c r="AQ7" s="486">
        <f t="shared" ref="AQ7:AQ39" si="14">AI7*1000</f>
        <v>24.896174265355214</v>
      </c>
      <c r="AR7" s="486">
        <v>3</v>
      </c>
      <c r="AS7" s="486">
        <f t="shared" ref="AS7:AS39" si="15">AJ7*1000</f>
        <v>183.63438105382579</v>
      </c>
      <c r="AT7" s="486">
        <v>3</v>
      </c>
      <c r="AU7" s="486">
        <f t="shared" ref="AU7:AU39" si="16">AK7*1000</f>
        <v>204.00396749123652</v>
      </c>
      <c r="AV7" s="486">
        <v>3</v>
      </c>
      <c r="AW7" s="486">
        <f t="shared" ref="AW7:AW39" si="17">AL7*1000</f>
        <v>66.12447779252139</v>
      </c>
      <c r="AX7" s="486">
        <v>3</v>
      </c>
      <c r="AY7" s="486">
        <f t="shared" ref="AY7:AY39" si="18">AS7/AQ7</f>
        <v>7.3760080202108007</v>
      </c>
      <c r="AZ7" s="486">
        <f t="shared" ref="AZ7:AZ39" si="19">AU7/AQ7</f>
        <v>8.1941894090580192</v>
      </c>
      <c r="BA7" s="486">
        <f>main!R8</f>
        <v>40.11</v>
      </c>
      <c r="BB7" s="431">
        <v>1</v>
      </c>
      <c r="BC7" s="486">
        <f>main!S8</f>
        <v>8.48</v>
      </c>
      <c r="BD7" s="431">
        <v>1</v>
      </c>
    </row>
    <row r="8" spans="1:56">
      <c r="A8" s="376">
        <f>main!A9</f>
        <v>2020</v>
      </c>
      <c r="B8" s="376" t="str">
        <f>main!B9</f>
        <v>47_1000</v>
      </c>
      <c r="C8" s="376">
        <f>main!C9</f>
        <v>3</v>
      </c>
      <c r="D8" s="376" t="str">
        <f>main!$B$6</f>
        <v>McLane-PARFLUX-Mark78H-21 ; frame# 12419-01, controller# 12419-01 and Motor # 12419-01 Cup set AAx21</v>
      </c>
      <c r="E8" s="376">
        <v>1000</v>
      </c>
      <c r="F8" s="233">
        <v>1</v>
      </c>
      <c r="G8" s="151">
        <f>main!E9</f>
        <v>351.51428571428568</v>
      </c>
      <c r="H8" s="125">
        <f>main!I9</f>
        <v>70.302857142857135</v>
      </c>
      <c r="I8" s="155">
        <f>main!J9</f>
        <v>25.67811857142857</v>
      </c>
      <c r="J8" s="431">
        <v>1</v>
      </c>
      <c r="K8" s="155">
        <f>main!AF9</f>
        <v>66.47885331390161</v>
      </c>
      <c r="L8" s="155">
        <f>main!AG9</f>
        <v>7.977178115217459</v>
      </c>
      <c r="M8" s="431">
        <v>1</v>
      </c>
      <c r="N8" s="155">
        <f>main!M9</f>
        <v>14.707548141479492</v>
      </c>
      <c r="O8" s="431">
        <v>1</v>
      </c>
      <c r="P8" s="155">
        <f>main!O9</f>
        <v>1.0262516736984253</v>
      </c>
      <c r="Q8" s="431">
        <v>1</v>
      </c>
      <c r="R8" s="155">
        <f>main!AH9</f>
        <v>6.7303700262620332</v>
      </c>
      <c r="S8" s="431">
        <v>1</v>
      </c>
      <c r="T8" s="155">
        <f>main!AB9</f>
        <v>4.2487933475159156</v>
      </c>
      <c r="U8" s="431">
        <v>1</v>
      </c>
      <c r="V8" s="155">
        <f>main!AC9</f>
        <v>9.0889993681819625</v>
      </c>
      <c r="W8" s="155">
        <f t="shared" si="1"/>
        <v>17.070518778869726</v>
      </c>
      <c r="X8" s="155">
        <f t="shared" si="2"/>
        <v>2.0483892550795901</v>
      </c>
      <c r="Y8" s="155">
        <f t="shared" si="3"/>
        <v>3.7766216507190431</v>
      </c>
      <c r="Z8" s="155">
        <f t="shared" si="4"/>
        <v>0.26352212161355187</v>
      </c>
      <c r="AA8" s="155">
        <f t="shared" si="5"/>
        <v>1.7282323956394532</v>
      </c>
      <c r="AB8" s="155">
        <f t="shared" si="6"/>
        <v>2.333884034718158</v>
      </c>
      <c r="AC8" s="139">
        <f>main!T9</f>
        <v>44102</v>
      </c>
      <c r="AD8" s="139">
        <f>main!U9</f>
        <v>44112</v>
      </c>
      <c r="AE8" s="139">
        <f>main!V9</f>
        <v>44107</v>
      </c>
      <c r="AF8" s="151">
        <f>main!H9</f>
        <v>10</v>
      </c>
      <c r="AG8" s="125">
        <f t="shared" si="7"/>
        <v>1.091010193630106</v>
      </c>
      <c r="AH8" s="125">
        <f t="shared" si="8"/>
        <v>0.31445642387335915</v>
      </c>
      <c r="AI8" s="125">
        <f t="shared" si="9"/>
        <v>1.8809573277198562E-2</v>
      </c>
      <c r="AJ8" s="125">
        <f t="shared" si="10"/>
        <v>0.14389945009487537</v>
      </c>
      <c r="AK8" s="125">
        <f t="shared" si="11"/>
        <v>0.17055697377848378</v>
      </c>
      <c r="AL8" s="125">
        <f t="shared" si="12"/>
        <v>3.8839807534001639E-2</v>
      </c>
      <c r="AM8" s="432">
        <f>depths!$B$2</f>
        <v>995.00000000000011</v>
      </c>
      <c r="AN8" s="376"/>
      <c r="AO8" s="155">
        <f t="shared" si="13"/>
        <v>314.45642387335914</v>
      </c>
      <c r="AP8" s="431">
        <v>1</v>
      </c>
      <c r="AQ8" s="155">
        <f t="shared" si="14"/>
        <v>18.809573277198563</v>
      </c>
      <c r="AR8" s="431">
        <v>1</v>
      </c>
      <c r="AS8" s="155">
        <f t="shared" si="15"/>
        <v>143.89945009487536</v>
      </c>
      <c r="AT8" s="431">
        <v>1</v>
      </c>
      <c r="AU8" s="155">
        <f t="shared" si="16"/>
        <v>170.55697377848378</v>
      </c>
      <c r="AV8" s="431">
        <v>1</v>
      </c>
      <c r="AW8" s="155">
        <f t="shared" si="17"/>
        <v>38.839807534001636</v>
      </c>
      <c r="AX8" s="431">
        <v>1</v>
      </c>
      <c r="AY8" s="155">
        <f t="shared" si="18"/>
        <v>7.6503303915625711</v>
      </c>
      <c r="AZ8" s="155">
        <f t="shared" si="19"/>
        <v>9.0675621006903562</v>
      </c>
      <c r="BA8" s="155">
        <f>main!R9</f>
        <v>40.39</v>
      </c>
      <c r="BB8" s="431">
        <v>1</v>
      </c>
      <c r="BC8" s="155">
        <f>main!S9</f>
        <v>8.4550000000000001</v>
      </c>
      <c r="BD8" s="431">
        <v>1</v>
      </c>
    </row>
    <row r="9" spans="1:56" s="483" customFormat="1">
      <c r="A9" s="483">
        <f>main!A10</f>
        <v>2020</v>
      </c>
      <c r="B9" s="483" t="str">
        <f>main!B10</f>
        <v>47_1000</v>
      </c>
      <c r="C9" s="483">
        <f>main!C10</f>
        <v>4</v>
      </c>
      <c r="D9" s="483" t="str">
        <f>main!$B$6</f>
        <v>McLane-PARFLUX-Mark78H-21 ; frame# 12419-01, controller# 12419-01 and Motor # 12419-01 Cup set AAx21</v>
      </c>
      <c r="E9" s="483">
        <v>1000</v>
      </c>
      <c r="F9" s="233">
        <v>1</v>
      </c>
      <c r="G9" s="484">
        <f>main!E10</f>
        <v>391.07142857142856</v>
      </c>
      <c r="H9" s="485">
        <f>main!I10</f>
        <v>78.214285714285708</v>
      </c>
      <c r="I9" s="486">
        <f>main!J10</f>
        <v>28.567767857142861</v>
      </c>
      <c r="J9" s="486">
        <v>1</v>
      </c>
      <c r="K9" s="486">
        <f>main!AF10</f>
        <v>61.416402694429195</v>
      </c>
      <c r="L9" s="486">
        <f>main!AG10</f>
        <v>7.3697056893568957</v>
      </c>
      <c r="M9" s="486">
        <v>3</v>
      </c>
      <c r="N9" s="486">
        <f>main!M10</f>
        <v>17.446081161499023</v>
      </c>
      <c r="O9" s="486">
        <v>3</v>
      </c>
      <c r="P9" s="486">
        <f>main!O10</f>
        <v>1.5050646066665649</v>
      </c>
      <c r="Q9" s="486">
        <v>3</v>
      </c>
      <c r="R9" s="486">
        <f>main!AH10</f>
        <v>10.076375472142129</v>
      </c>
      <c r="S9" s="486">
        <v>3</v>
      </c>
      <c r="T9" s="486">
        <f>main!AB10</f>
        <v>3.7113961728881879</v>
      </c>
      <c r="U9" s="486">
        <v>1</v>
      </c>
      <c r="V9" s="486">
        <f>main!AC10</f>
        <v>7.9394017810199795</v>
      </c>
      <c r="W9" s="486">
        <f t="shared" si="1"/>
        <v>17.545295347952568</v>
      </c>
      <c r="X9" s="486">
        <f t="shared" si="2"/>
        <v>2.105360413090128</v>
      </c>
      <c r="Y9" s="486">
        <f t="shared" si="3"/>
        <v>4.983955966385774</v>
      </c>
      <c r="Z9" s="486">
        <f t="shared" si="4"/>
        <v>0.42996336293252457</v>
      </c>
      <c r="AA9" s="486">
        <f t="shared" si="5"/>
        <v>2.878595553295646</v>
      </c>
      <c r="AB9" s="486">
        <f t="shared" si="6"/>
        <v>2.2681098700476534</v>
      </c>
      <c r="AC9" s="487">
        <f>main!T10</f>
        <v>44112</v>
      </c>
      <c r="AD9" s="487">
        <f>main!U10</f>
        <v>44122</v>
      </c>
      <c r="AE9" s="487">
        <f>main!V10</f>
        <v>44117</v>
      </c>
      <c r="AF9" s="484">
        <f>main!H10</f>
        <v>10</v>
      </c>
      <c r="AG9" s="485">
        <f t="shared" si="7"/>
        <v>1.0602630429295821</v>
      </c>
      <c r="AH9" s="485">
        <f t="shared" si="8"/>
        <v>0.41498384399548494</v>
      </c>
      <c r="AI9" s="485">
        <f t="shared" si="9"/>
        <v>3.0689747532657002E-2</v>
      </c>
      <c r="AJ9" s="485">
        <f t="shared" si="10"/>
        <v>0.23968322675234355</v>
      </c>
      <c r="AK9" s="485">
        <f t="shared" si="11"/>
        <v>0.17530061724314139</v>
      </c>
      <c r="AL9" s="485">
        <f t="shared" si="12"/>
        <v>3.7745213347439729E-2</v>
      </c>
      <c r="AM9" s="486">
        <f>depths!$B$2</f>
        <v>995.00000000000011</v>
      </c>
      <c r="AO9" s="486">
        <f t="shared" si="13"/>
        <v>414.98384399548496</v>
      </c>
      <c r="AP9" s="486">
        <v>3</v>
      </c>
      <c r="AQ9" s="486">
        <f t="shared" si="14"/>
        <v>30.689747532657002</v>
      </c>
      <c r="AR9" s="486">
        <v>3</v>
      </c>
      <c r="AS9" s="486">
        <f t="shared" si="15"/>
        <v>239.68322675234356</v>
      </c>
      <c r="AT9" s="486">
        <v>3</v>
      </c>
      <c r="AU9" s="486">
        <f t="shared" si="16"/>
        <v>175.30061724314137</v>
      </c>
      <c r="AV9" s="486">
        <v>3</v>
      </c>
      <c r="AW9" s="486">
        <f t="shared" si="17"/>
        <v>37.74521334743973</v>
      </c>
      <c r="AX9" s="486">
        <v>1</v>
      </c>
      <c r="AY9" s="486">
        <f t="shared" si="18"/>
        <v>7.8098793904151966</v>
      </c>
      <c r="AZ9" s="486">
        <f t="shared" si="19"/>
        <v>5.7120253940376591</v>
      </c>
      <c r="BA9" s="486">
        <f>main!R10</f>
        <v>40.06</v>
      </c>
      <c r="BB9" s="431">
        <v>1</v>
      </c>
      <c r="BC9" s="486">
        <f>main!S10</f>
        <v>8.34</v>
      </c>
      <c r="BD9" s="431">
        <v>1</v>
      </c>
    </row>
    <row r="10" spans="1:56">
      <c r="A10" s="376">
        <f>main!A11</f>
        <v>2020</v>
      </c>
      <c r="B10" s="376" t="str">
        <f>main!B11</f>
        <v>47_1000</v>
      </c>
      <c r="C10" s="376">
        <f>main!C11</f>
        <v>5</v>
      </c>
      <c r="D10" s="376" t="str">
        <f>main!$B$6</f>
        <v>McLane-PARFLUX-Mark78H-21 ; frame# 12419-01, controller# 12419-01 and Motor # 12419-01 Cup set AAx21</v>
      </c>
      <c r="E10" s="376">
        <v>1000</v>
      </c>
      <c r="F10" s="233">
        <v>1</v>
      </c>
      <c r="G10" s="151">
        <f>main!E11</f>
        <v>511.94285714285718</v>
      </c>
      <c r="H10" s="125">
        <f>main!I11</f>
        <v>102.38857142857144</v>
      </c>
      <c r="I10" s="155">
        <f>main!J11</f>
        <v>37.397425714285717</v>
      </c>
      <c r="J10" s="431">
        <v>1</v>
      </c>
      <c r="K10" s="155">
        <f>main!AF11</f>
        <v>67.995382921414688</v>
      </c>
      <c r="L10" s="155">
        <f>main!AG11</f>
        <v>8.1591551830078703</v>
      </c>
      <c r="M10" s="431">
        <v>1</v>
      </c>
      <c r="N10" s="155">
        <f>main!M11</f>
        <v>14.767549514770508</v>
      </c>
      <c r="O10" s="431">
        <v>1</v>
      </c>
      <c r="P10" s="155">
        <f>main!O11</f>
        <v>0.9445081353187561</v>
      </c>
      <c r="Q10" s="431">
        <v>1</v>
      </c>
      <c r="R10" s="155">
        <f>main!AH11</f>
        <v>6.6083943317626375</v>
      </c>
      <c r="S10" s="431">
        <v>1</v>
      </c>
      <c r="T10" s="155">
        <f>main!AB11</f>
        <v>3.9807685809615134</v>
      </c>
      <c r="U10" s="431">
        <v>1</v>
      </c>
      <c r="V10" s="155">
        <f>main!AC11</f>
        <v>8.5156420088991567</v>
      </c>
      <c r="W10" s="155">
        <f t="shared" si="1"/>
        <v>25.428522817180177</v>
      </c>
      <c r="X10" s="155">
        <f t="shared" si="2"/>
        <v>3.051313998478661</v>
      </c>
      <c r="Y10" s="155">
        <f t="shared" si="3"/>
        <v>5.5226833596066616</v>
      </c>
      <c r="Z10" s="155">
        <f t="shared" si="4"/>
        <v>0.35322172827121706</v>
      </c>
      <c r="AA10" s="155">
        <f t="shared" si="5"/>
        <v>2.4713693611280005</v>
      </c>
      <c r="AB10" s="155">
        <f t="shared" si="6"/>
        <v>3.1846308943725696</v>
      </c>
      <c r="AC10" s="139">
        <f>main!T11</f>
        <v>44122</v>
      </c>
      <c r="AD10" s="139">
        <f>main!U11</f>
        <v>44132</v>
      </c>
      <c r="AE10" s="139">
        <f>main!V11</f>
        <v>44127</v>
      </c>
      <c r="AF10" s="151">
        <f>main!H11</f>
        <v>10</v>
      </c>
      <c r="AG10" s="125">
        <f t="shared" si="7"/>
        <v>1.4887049729227078</v>
      </c>
      <c r="AH10" s="125">
        <f t="shared" si="8"/>
        <v>0.4598404129564248</v>
      </c>
      <c r="AI10" s="125">
        <f t="shared" si="9"/>
        <v>2.521211479451942E-2</v>
      </c>
      <c r="AJ10" s="125">
        <f t="shared" si="10"/>
        <v>0.20577596678834309</v>
      </c>
      <c r="AK10" s="125">
        <f t="shared" si="11"/>
        <v>0.25406444616808171</v>
      </c>
      <c r="AL10" s="125">
        <f t="shared" si="12"/>
        <v>5.2997685045308218E-2</v>
      </c>
      <c r="AM10" s="432">
        <f>depths!$B$2</f>
        <v>995.00000000000011</v>
      </c>
      <c r="AN10" s="376"/>
      <c r="AO10" s="155">
        <f t="shared" si="13"/>
        <v>459.84041295642481</v>
      </c>
      <c r="AP10" s="431">
        <v>1</v>
      </c>
      <c r="AQ10" s="155">
        <f t="shared" si="14"/>
        <v>25.212114794519419</v>
      </c>
      <c r="AR10" s="431">
        <v>1</v>
      </c>
      <c r="AS10" s="155">
        <f t="shared" si="15"/>
        <v>205.77596678834308</v>
      </c>
      <c r="AT10" s="431">
        <v>1</v>
      </c>
      <c r="AU10" s="155">
        <f t="shared" si="16"/>
        <v>254.0644461680817</v>
      </c>
      <c r="AV10" s="431">
        <v>1</v>
      </c>
      <c r="AW10" s="155">
        <f t="shared" si="17"/>
        <v>52.997685045308216</v>
      </c>
      <c r="AX10" s="431">
        <v>1</v>
      </c>
      <c r="AY10" s="155">
        <f t="shared" si="18"/>
        <v>8.1617892217861243</v>
      </c>
      <c r="AZ10" s="155">
        <f t="shared" si="19"/>
        <v>10.077077953941014</v>
      </c>
      <c r="BA10" s="155">
        <f>main!R11</f>
        <v>38.090000000000003</v>
      </c>
      <c r="BB10" s="431">
        <v>1</v>
      </c>
      <c r="BC10" s="155">
        <f>main!S11</f>
        <v>8.4700000000000006</v>
      </c>
      <c r="BD10" s="431">
        <v>1</v>
      </c>
    </row>
    <row r="11" spans="1:56">
      <c r="A11" s="376">
        <f>main!A12</f>
        <v>2020</v>
      </c>
      <c r="B11" s="376" t="str">
        <f>main!B12</f>
        <v>47_1000</v>
      </c>
      <c r="C11" s="376">
        <f>main!C12</f>
        <v>6</v>
      </c>
      <c r="D11" s="376" t="str">
        <f>main!$B$6</f>
        <v>McLane-PARFLUX-Mark78H-21 ; frame# 12419-01, controller# 12419-01 and Motor # 12419-01 Cup set AAx21</v>
      </c>
      <c r="E11" s="376">
        <v>1000</v>
      </c>
      <c r="F11" s="233">
        <v>1</v>
      </c>
      <c r="G11" s="151">
        <f>main!E12</f>
        <v>440.75714285714287</v>
      </c>
      <c r="H11" s="125">
        <f>main!I12</f>
        <v>88.151428571428568</v>
      </c>
      <c r="I11" s="155">
        <f>main!J12</f>
        <v>32.19730928571429</v>
      </c>
      <c r="J11" s="431">
        <v>1</v>
      </c>
      <c r="K11" s="155">
        <f>main!AF12</f>
        <v>70.120884254291553</v>
      </c>
      <c r="L11" s="155">
        <f>main!AG12</f>
        <v>8.4142062537059452</v>
      </c>
      <c r="M11" s="431">
        <v>1</v>
      </c>
      <c r="N11" s="155">
        <f>main!M12</f>
        <v>14.464190483093262</v>
      </c>
      <c r="O11" s="431">
        <v>1</v>
      </c>
      <c r="P11" s="155">
        <f>main!O12</f>
        <v>0.88411116600036621</v>
      </c>
      <c r="Q11" s="431">
        <v>1</v>
      </c>
      <c r="R11" s="155">
        <f>main!AH12</f>
        <v>6.0499842293873165</v>
      </c>
      <c r="S11" s="431">
        <v>1</v>
      </c>
      <c r="T11" s="155">
        <f>main!AB12</f>
        <v>3.5414634203872133</v>
      </c>
      <c r="U11" s="431">
        <v>1</v>
      </c>
      <c r="V11" s="155">
        <f>main!AC12</f>
        <v>7.5758824112163641</v>
      </c>
      <c r="W11" s="155">
        <f t="shared" si="1"/>
        <v>22.577037977231981</v>
      </c>
      <c r="X11" s="155">
        <f t="shared" si="2"/>
        <v>2.7091480114436171</v>
      </c>
      <c r="Y11" s="155">
        <f t="shared" si="3"/>
        <v>4.6570801455163897</v>
      </c>
      <c r="Z11" s="155">
        <f t="shared" si="4"/>
        <v>0.28466000654667278</v>
      </c>
      <c r="AA11" s="155">
        <f t="shared" si="5"/>
        <v>1.9479321340727727</v>
      </c>
      <c r="AB11" s="155">
        <f t="shared" si="6"/>
        <v>2.4392302910613619</v>
      </c>
      <c r="AC11" s="139">
        <f>main!T12</f>
        <v>44132</v>
      </c>
      <c r="AD11" s="139">
        <f>main!U12</f>
        <v>44142</v>
      </c>
      <c r="AE11" s="139">
        <f>main!V12</f>
        <v>44137</v>
      </c>
      <c r="AF11" s="151">
        <f>main!H12</f>
        <v>10</v>
      </c>
      <c r="AG11" s="125">
        <f t="shared" si="7"/>
        <v>1.1402559307025073</v>
      </c>
      <c r="AH11" s="125">
        <f t="shared" si="8"/>
        <v>0.38776687306547791</v>
      </c>
      <c r="AI11" s="125">
        <f t="shared" si="9"/>
        <v>2.0318344507257158E-2</v>
      </c>
      <c r="AJ11" s="125">
        <f t="shared" si="10"/>
        <v>0.16219251740822421</v>
      </c>
      <c r="AK11" s="125">
        <f t="shared" si="11"/>
        <v>0.2255743556572537</v>
      </c>
      <c r="AL11" s="125">
        <f t="shared" si="12"/>
        <v>4.0592948761214213E-2</v>
      </c>
      <c r="AM11" s="432">
        <f>depths!$B$2</f>
        <v>995.00000000000011</v>
      </c>
      <c r="AN11" s="376"/>
      <c r="AO11" s="155">
        <f t="shared" si="13"/>
        <v>387.76687306547791</v>
      </c>
      <c r="AP11" s="431">
        <v>1</v>
      </c>
      <c r="AQ11" s="155">
        <f t="shared" si="14"/>
        <v>20.318344507257159</v>
      </c>
      <c r="AR11" s="431">
        <v>1</v>
      </c>
      <c r="AS11" s="155">
        <f t="shared" si="15"/>
        <v>162.19251740822421</v>
      </c>
      <c r="AT11" s="431">
        <v>1</v>
      </c>
      <c r="AU11" s="155">
        <f t="shared" si="16"/>
        <v>225.5743556572537</v>
      </c>
      <c r="AV11" s="431">
        <v>1</v>
      </c>
      <c r="AW11" s="155">
        <f t="shared" si="17"/>
        <v>40.592948761214217</v>
      </c>
      <c r="AX11" s="431">
        <v>1</v>
      </c>
      <c r="AY11" s="155">
        <f t="shared" si="18"/>
        <v>7.982565575177321</v>
      </c>
      <c r="AZ11" s="155">
        <f t="shared" si="19"/>
        <v>11.102004672510828</v>
      </c>
      <c r="BA11" s="155">
        <f>main!R12</f>
        <v>37.96</v>
      </c>
      <c r="BB11" s="431">
        <v>1</v>
      </c>
      <c r="BC11" s="155">
        <f>main!S12</f>
        <v>8.4600000000000009</v>
      </c>
      <c r="BD11" s="431">
        <v>1</v>
      </c>
    </row>
    <row r="12" spans="1:56">
      <c r="A12" s="376">
        <f>main!A13</f>
        <v>2020</v>
      </c>
      <c r="B12" s="376" t="str">
        <f>main!B13</f>
        <v>47_1000</v>
      </c>
      <c r="C12" s="376">
        <f>main!C13</f>
        <v>7</v>
      </c>
      <c r="D12" s="376" t="str">
        <f>main!$B$6</f>
        <v>McLane-PARFLUX-Mark78H-21 ; frame# 12419-01, controller# 12419-01 and Motor # 12419-01 Cup set AAx21</v>
      </c>
      <c r="E12" s="376">
        <v>1000</v>
      </c>
      <c r="F12" s="233">
        <v>1</v>
      </c>
      <c r="G12" s="151">
        <f>main!E13</f>
        <v>280.41428571428571</v>
      </c>
      <c r="H12" s="125">
        <f>main!I13</f>
        <v>56.082857142857144</v>
      </c>
      <c r="I12" s="155">
        <f>main!J13</f>
        <v>20.484263571428574</v>
      </c>
      <c r="J12" s="431">
        <v>1</v>
      </c>
      <c r="K12" s="155">
        <f>main!AF13</f>
        <v>68.239375960274074</v>
      </c>
      <c r="L12" s="155">
        <f>main!AG13</f>
        <v>8.1884333042874893</v>
      </c>
      <c r="M12" s="431">
        <v>1</v>
      </c>
      <c r="N12" s="155">
        <f>main!M13</f>
        <v>15.145710945129395</v>
      </c>
      <c r="O12" s="431">
        <v>1</v>
      </c>
      <c r="P12" s="155">
        <f>main!O13</f>
        <v>1.0090804100036621</v>
      </c>
      <c r="Q12" s="431">
        <v>1</v>
      </c>
      <c r="R12" s="155">
        <f>main!AH13</f>
        <v>6.9572776408419053</v>
      </c>
      <c r="S12" s="431">
        <v>1</v>
      </c>
      <c r="T12" s="155">
        <f>main!AB13</f>
        <v>3.4740489001330288</v>
      </c>
      <c r="U12" s="431">
        <v>1</v>
      </c>
      <c r="V12" s="155">
        <f>main!AC13</f>
        <v>7.4316695766818697</v>
      </c>
      <c r="W12" s="155">
        <f t="shared" si="1"/>
        <v>13.978333631200609</v>
      </c>
      <c r="X12" s="155">
        <f t="shared" si="2"/>
        <v>1.6773402604208871</v>
      </c>
      <c r="Y12" s="155">
        <f t="shared" si="3"/>
        <v>3.1024873497670109</v>
      </c>
      <c r="Z12" s="155">
        <f t="shared" si="4"/>
        <v>0.20670269083280227</v>
      </c>
      <c r="AA12" s="155">
        <f t="shared" si="5"/>
        <v>1.4251470893461238</v>
      </c>
      <c r="AB12" s="155">
        <f t="shared" si="6"/>
        <v>1.5223227838451843</v>
      </c>
      <c r="AC12" s="139">
        <f>main!T13</f>
        <v>44142</v>
      </c>
      <c r="AD12" s="139">
        <f>main!U13</f>
        <v>44152</v>
      </c>
      <c r="AE12" s="139">
        <f>main!V13</f>
        <v>44147</v>
      </c>
      <c r="AF12" s="151">
        <f>main!H13</f>
        <v>10</v>
      </c>
      <c r="AG12" s="125">
        <f t="shared" si="7"/>
        <v>0.71163333330356504</v>
      </c>
      <c r="AH12" s="125">
        <f t="shared" si="8"/>
        <v>0.2583253413627819</v>
      </c>
      <c r="AI12" s="125">
        <f t="shared" si="9"/>
        <v>1.4753939388494095E-2</v>
      </c>
      <c r="AJ12" s="125">
        <f t="shared" si="10"/>
        <v>0.11866337130275802</v>
      </c>
      <c r="AK12" s="125">
        <f t="shared" si="11"/>
        <v>0.1396619700600239</v>
      </c>
      <c r="AL12" s="125">
        <f t="shared" si="12"/>
        <v>2.5334045329425597E-2</v>
      </c>
      <c r="AM12" s="432">
        <f>depths!$B$2</f>
        <v>995.00000000000011</v>
      </c>
      <c r="AN12" s="376"/>
      <c r="AO12" s="155">
        <f t="shared" si="13"/>
        <v>258.3253413627819</v>
      </c>
      <c r="AP12" s="431">
        <v>1</v>
      </c>
      <c r="AQ12" s="155">
        <f t="shared" si="14"/>
        <v>14.753939388494095</v>
      </c>
      <c r="AR12" s="431">
        <v>1</v>
      </c>
      <c r="AS12" s="155">
        <f t="shared" si="15"/>
        <v>118.66337130275802</v>
      </c>
      <c r="AT12" s="431">
        <v>1</v>
      </c>
      <c r="AU12" s="155">
        <f t="shared" si="16"/>
        <v>139.66197006002389</v>
      </c>
      <c r="AV12" s="431">
        <v>1</v>
      </c>
      <c r="AW12" s="155">
        <f t="shared" si="17"/>
        <v>25.334045329425596</v>
      </c>
      <c r="AX12" s="431">
        <v>1</v>
      </c>
      <c r="AY12" s="155">
        <f t="shared" si="18"/>
        <v>8.0428262702026565</v>
      </c>
      <c r="AZ12" s="155">
        <f t="shared" si="19"/>
        <v>9.4660799656625745</v>
      </c>
      <c r="BA12" s="155">
        <f>main!R13</f>
        <v>39.159999999999997</v>
      </c>
      <c r="BB12" s="431">
        <v>1</v>
      </c>
      <c r="BC12" s="155">
        <f>main!S13</f>
        <v>8.52</v>
      </c>
      <c r="BD12" s="431">
        <v>1</v>
      </c>
    </row>
    <row r="13" spans="1:56">
      <c r="A13" s="376">
        <f>main!A14</f>
        <v>2020</v>
      </c>
      <c r="B13" s="376" t="str">
        <f>main!B14</f>
        <v>47_1000</v>
      </c>
      <c r="C13" s="376">
        <f>main!C14</f>
        <v>8</v>
      </c>
      <c r="D13" s="376" t="str">
        <f>main!$B$6</f>
        <v>McLane-PARFLUX-Mark78H-21 ; frame# 12419-01, controller# 12419-01 and Motor # 12419-01 Cup set AAx21</v>
      </c>
      <c r="E13" s="376">
        <v>1000</v>
      </c>
      <c r="F13" s="233">
        <v>1</v>
      </c>
      <c r="G13" s="151">
        <f>main!E14</f>
        <v>310.97142857142859</v>
      </c>
      <c r="H13" s="125">
        <f>main!I14</f>
        <v>62.194285714285719</v>
      </c>
      <c r="I13" s="155">
        <f>main!J14</f>
        <v>22.716462857142862</v>
      </c>
      <c r="J13" s="431">
        <v>1</v>
      </c>
      <c r="K13" s="155">
        <f>main!AF14</f>
        <v>67.34943309880336</v>
      </c>
      <c r="L13" s="155">
        <f>main!AG14</f>
        <v>8.0816439665593425</v>
      </c>
      <c r="M13" s="431">
        <v>1</v>
      </c>
      <c r="N13" s="155">
        <f>main!M14</f>
        <v>14.357670783996582</v>
      </c>
      <c r="O13" s="431">
        <v>1</v>
      </c>
      <c r="P13" s="155">
        <f>main!O14</f>
        <v>0.92747354507446289</v>
      </c>
      <c r="Q13" s="431">
        <v>1</v>
      </c>
      <c r="R13" s="155">
        <f>main!AH14</f>
        <v>6.2760268174372396</v>
      </c>
      <c r="S13" s="431">
        <v>1</v>
      </c>
      <c r="T13" s="155">
        <f>main!AB14</f>
        <v>3.6617362416244483</v>
      </c>
      <c r="U13" s="431">
        <v>1</v>
      </c>
      <c r="V13" s="155">
        <f>main!AC14</f>
        <v>7.8331694823500584</v>
      </c>
      <c r="W13" s="155">
        <f t="shared" si="1"/>
        <v>15.299408954385946</v>
      </c>
      <c r="X13" s="155">
        <f t="shared" si="2"/>
        <v>1.8358636499099803</v>
      </c>
      <c r="Y13" s="155">
        <f t="shared" si="3"/>
        <v>3.2615549507974357</v>
      </c>
      <c r="Z13" s="155">
        <f t="shared" si="4"/>
        <v>0.21068918337666651</v>
      </c>
      <c r="AA13" s="155">
        <f t="shared" si="5"/>
        <v>1.4256913008874559</v>
      </c>
      <c r="AB13" s="155">
        <f t="shared" si="6"/>
        <v>1.7794190359951008</v>
      </c>
      <c r="AC13" s="139">
        <f>main!T14</f>
        <v>44152</v>
      </c>
      <c r="AD13" s="139">
        <f>main!U14</f>
        <v>44162</v>
      </c>
      <c r="AE13" s="139">
        <f>main!V14</f>
        <v>44157</v>
      </c>
      <c r="AF13" s="151">
        <f>main!H14</f>
        <v>10</v>
      </c>
      <c r="AG13" s="125">
        <f t="shared" si="7"/>
        <v>0.83181695325515681</v>
      </c>
      <c r="AH13" s="125">
        <f t="shared" si="8"/>
        <v>0.27156993761843762</v>
      </c>
      <c r="AI13" s="125">
        <f t="shared" si="9"/>
        <v>1.5038485608612885E-2</v>
      </c>
      <c r="AJ13" s="125">
        <f t="shared" si="10"/>
        <v>0.11870868450353504</v>
      </c>
      <c r="AK13" s="125">
        <f t="shared" si="11"/>
        <v>0.15286125311490262</v>
      </c>
      <c r="AL13" s="125">
        <f t="shared" si="12"/>
        <v>2.9612565085623242E-2</v>
      </c>
      <c r="AM13" s="432">
        <f>depths!$B$2</f>
        <v>995.00000000000011</v>
      </c>
      <c r="AN13" s="376"/>
      <c r="AO13" s="155">
        <f t="shared" si="13"/>
        <v>271.56993761843762</v>
      </c>
      <c r="AP13" s="431">
        <v>1</v>
      </c>
      <c r="AQ13" s="155">
        <f t="shared" si="14"/>
        <v>15.038485608612884</v>
      </c>
      <c r="AR13" s="431">
        <v>1</v>
      </c>
      <c r="AS13" s="155">
        <f t="shared" si="15"/>
        <v>118.70868450353504</v>
      </c>
      <c r="AT13" s="431">
        <v>1</v>
      </c>
      <c r="AU13" s="155">
        <f t="shared" si="16"/>
        <v>152.86125311490261</v>
      </c>
      <c r="AV13" s="431">
        <v>1</v>
      </c>
      <c r="AW13" s="155">
        <f t="shared" si="17"/>
        <v>29.612565085623242</v>
      </c>
      <c r="AX13" s="431">
        <v>1</v>
      </c>
      <c r="AY13" s="155">
        <f t="shared" si="18"/>
        <v>7.893659480948525</v>
      </c>
      <c r="AZ13" s="155">
        <f t="shared" si="19"/>
        <v>10.164670638601766</v>
      </c>
      <c r="BA13" s="155">
        <f>main!R14</f>
        <v>39.83</v>
      </c>
      <c r="BB13" s="431">
        <v>1</v>
      </c>
      <c r="BC13" s="155">
        <f>main!S14</f>
        <v>8.4499999999999993</v>
      </c>
      <c r="BD13" s="431">
        <v>1</v>
      </c>
    </row>
    <row r="14" spans="1:56">
      <c r="A14" s="376">
        <f>main!A15</f>
        <v>2020</v>
      </c>
      <c r="B14" s="376" t="str">
        <f>main!B15</f>
        <v>47_1000</v>
      </c>
      <c r="C14" s="376">
        <f>main!C15</f>
        <v>9</v>
      </c>
      <c r="D14" s="376" t="str">
        <f>main!$B$6</f>
        <v>McLane-PARFLUX-Mark78H-21 ; frame# 12419-01, controller# 12419-01 and Motor # 12419-01 Cup set AAx21</v>
      </c>
      <c r="E14" s="376">
        <v>1000</v>
      </c>
      <c r="F14" s="233">
        <v>1</v>
      </c>
      <c r="G14" s="151">
        <f>main!E15</f>
        <v>107.5</v>
      </c>
      <c r="H14" s="125">
        <f>main!I15</f>
        <v>21.5</v>
      </c>
      <c r="I14" s="155">
        <f>main!J15</f>
        <v>7.852875</v>
      </c>
      <c r="J14" s="431">
        <v>1</v>
      </c>
      <c r="K14" s="155">
        <f>main!AF15</f>
        <v>65.749587841751904</v>
      </c>
      <c r="L14" s="155">
        <f>main!AG15</f>
        <v>7.8896693771056983</v>
      </c>
      <c r="M14" s="431">
        <v>1</v>
      </c>
      <c r="N14" s="155">
        <f>main!M15</f>
        <v>15.658727645874023</v>
      </c>
      <c r="O14" s="431">
        <v>1</v>
      </c>
      <c r="P14" s="155">
        <f>main!O15</f>
        <v>1.1629287004470825</v>
      </c>
      <c r="Q14" s="431">
        <v>1</v>
      </c>
      <c r="R14" s="155">
        <f>main!AH15</f>
        <v>7.7690582687683252</v>
      </c>
      <c r="S14" s="431">
        <v>1</v>
      </c>
      <c r="T14" s="155">
        <f>main!AB15</f>
        <v>3.5906345053797613</v>
      </c>
      <c r="U14" s="431">
        <v>1</v>
      </c>
      <c r="V14" s="155">
        <f>main!AC15</f>
        <v>7.6810689721705199</v>
      </c>
      <c r="W14" s="155">
        <f t="shared" si="1"/>
        <v>5.1632329462279749</v>
      </c>
      <c r="X14" s="155">
        <f t="shared" si="2"/>
        <v>0.61956587409738917</v>
      </c>
      <c r="Y14" s="155">
        <f t="shared" si="3"/>
        <v>1.2296603086209297</v>
      </c>
      <c r="Z14" s="155">
        <f t="shared" si="4"/>
        <v>9.1323337185233833E-2</v>
      </c>
      <c r="AA14" s="155">
        <f t="shared" si="5"/>
        <v>0.61009443452354062</v>
      </c>
      <c r="AB14" s="155">
        <f t="shared" si="6"/>
        <v>0.60318474504833575</v>
      </c>
      <c r="AC14" s="139">
        <f>main!T15</f>
        <v>44162</v>
      </c>
      <c r="AD14" s="139">
        <f>main!U15</f>
        <v>44172</v>
      </c>
      <c r="AE14" s="139">
        <f>main!V15</f>
        <v>44167</v>
      </c>
      <c r="AF14" s="151">
        <f>main!H15</f>
        <v>10</v>
      </c>
      <c r="AG14" s="125">
        <f t="shared" si="7"/>
        <v>0.2819680394143409</v>
      </c>
      <c r="AH14" s="125">
        <f t="shared" si="8"/>
        <v>0.10238637040973603</v>
      </c>
      <c r="AI14" s="125">
        <f t="shared" si="9"/>
        <v>6.5184394850273967E-3</v>
      </c>
      <c r="AJ14" s="125">
        <f t="shared" si="10"/>
        <v>5.0798870484890978E-2</v>
      </c>
      <c r="AK14" s="125">
        <f t="shared" si="11"/>
        <v>5.1587499924845064E-2</v>
      </c>
      <c r="AL14" s="125">
        <f t="shared" si="12"/>
        <v>1.0038022051062332E-2</v>
      </c>
      <c r="AM14" s="432">
        <f>depths!$B$2</f>
        <v>995.00000000000011</v>
      </c>
      <c r="AN14" s="376"/>
      <c r="AO14" s="155">
        <f t="shared" si="13"/>
        <v>102.38637040973603</v>
      </c>
      <c r="AP14" s="431">
        <v>1</v>
      </c>
      <c r="AQ14" s="155">
        <f t="shared" si="14"/>
        <v>6.5184394850273968</v>
      </c>
      <c r="AR14" s="431">
        <v>1</v>
      </c>
      <c r="AS14" s="155">
        <f t="shared" si="15"/>
        <v>50.798870484890976</v>
      </c>
      <c r="AT14" s="431">
        <v>1</v>
      </c>
      <c r="AU14" s="155">
        <f t="shared" si="16"/>
        <v>51.587499924845062</v>
      </c>
      <c r="AV14" s="431">
        <v>1</v>
      </c>
      <c r="AW14" s="155">
        <f t="shared" si="17"/>
        <v>10.038022051062333</v>
      </c>
      <c r="AX14" s="431">
        <v>1</v>
      </c>
      <c r="AY14" s="155">
        <f t="shared" si="18"/>
        <v>7.7931030274307238</v>
      </c>
      <c r="AZ14" s="155">
        <f t="shared" si="19"/>
        <v>7.9140874197481699</v>
      </c>
      <c r="BA14" s="155">
        <f>main!R15</f>
        <v>40.4</v>
      </c>
      <c r="BB14" s="431">
        <v>1</v>
      </c>
      <c r="BC14" s="155">
        <f>main!S15</f>
        <v>8.51</v>
      </c>
      <c r="BD14" s="431">
        <v>1</v>
      </c>
    </row>
    <row r="15" spans="1:56">
      <c r="A15" s="376">
        <f>main!A16</f>
        <v>2020</v>
      </c>
      <c r="B15" s="376" t="str">
        <f>main!B16</f>
        <v>47_1000</v>
      </c>
      <c r="C15" s="376">
        <f>main!C16</f>
        <v>10</v>
      </c>
      <c r="D15" s="376" t="str">
        <f>main!$B$6</f>
        <v>McLane-PARFLUX-Mark78H-21 ; frame# 12419-01, controller# 12419-01 and Motor # 12419-01 Cup set AAx21</v>
      </c>
      <c r="E15" s="376">
        <v>1000</v>
      </c>
      <c r="F15" s="233">
        <v>1</v>
      </c>
      <c r="G15" s="151">
        <f>main!E16</f>
        <v>209.67142857142852</v>
      </c>
      <c r="H15" s="125">
        <f>main!I16</f>
        <v>41.934285714285707</v>
      </c>
      <c r="I15" s="155">
        <f>main!J16</f>
        <v>15.316497857142854</v>
      </c>
      <c r="J15" s="431">
        <v>1</v>
      </c>
      <c r="K15" s="155">
        <f>main!AF16</f>
        <v>63.581083482154568</v>
      </c>
      <c r="L15" s="155">
        <f>main!AG16</f>
        <v>7.6294581270943178</v>
      </c>
      <c r="M15" s="431">
        <v>1</v>
      </c>
      <c r="N15" s="155">
        <f>main!M16</f>
        <v>16.215448379516602</v>
      </c>
      <c r="O15" s="431">
        <v>1</v>
      </c>
      <c r="P15" s="155">
        <f>main!O16</f>
        <v>1.3226176500320435</v>
      </c>
      <c r="Q15" s="431">
        <v>1</v>
      </c>
      <c r="R15" s="155">
        <f>main!AH16</f>
        <v>8.5859902524222846</v>
      </c>
      <c r="S15" s="431">
        <v>1</v>
      </c>
      <c r="T15" s="155">
        <f>main!AB16</f>
        <v>3.8982248147823411</v>
      </c>
      <c r="U15" s="431">
        <v>1</v>
      </c>
      <c r="V15" s="155">
        <f>main!AC16</f>
        <v>8.3390647604226036</v>
      </c>
      <c r="W15" s="155">
        <f t="shared" si="1"/>
        <v>9.7383952890924128</v>
      </c>
      <c r="X15" s="155">
        <f t="shared" si="2"/>
        <v>1.1685657905480127</v>
      </c>
      <c r="Y15" s="155">
        <f t="shared" si="3"/>
        <v>2.4836388035747659</v>
      </c>
      <c r="Z15" s="155">
        <f t="shared" si="4"/>
        <v>0.20257870402535114</v>
      </c>
      <c r="AA15" s="155">
        <f t="shared" si="5"/>
        <v>1.3150730130267536</v>
      </c>
      <c r="AB15" s="155">
        <f t="shared" si="6"/>
        <v>1.277252675335883</v>
      </c>
      <c r="AC15" s="139">
        <f>main!T16</f>
        <v>44172</v>
      </c>
      <c r="AD15" s="139">
        <f>main!U16</f>
        <v>44182</v>
      </c>
      <c r="AE15" s="139">
        <f>main!V16</f>
        <v>44177</v>
      </c>
      <c r="AF15" s="151">
        <f>main!H16</f>
        <v>10</v>
      </c>
      <c r="AG15" s="125">
        <f t="shared" si="7"/>
        <v>0.59707152022274823</v>
      </c>
      <c r="AH15" s="125">
        <f t="shared" si="8"/>
        <v>0.20679756899040516</v>
      </c>
      <c r="AI15" s="125">
        <f t="shared" si="9"/>
        <v>1.4459579159553971E-2</v>
      </c>
      <c r="AJ15" s="125">
        <f t="shared" si="10"/>
        <v>0.10949816927783128</v>
      </c>
      <c r="AK15" s="125">
        <f t="shared" si="11"/>
        <v>9.7299399712573911E-2</v>
      </c>
      <c r="AL15" s="125">
        <f t="shared" si="12"/>
        <v>2.1255661097285449E-2</v>
      </c>
      <c r="AM15" s="432">
        <f>depths!$B$2</f>
        <v>995.00000000000011</v>
      </c>
      <c r="AN15" s="376"/>
      <c r="AO15" s="155">
        <f t="shared" si="13"/>
        <v>206.79756899040515</v>
      </c>
      <c r="AP15" s="431">
        <v>1</v>
      </c>
      <c r="AQ15" s="155">
        <f t="shared" si="14"/>
        <v>14.459579159553972</v>
      </c>
      <c r="AR15" s="431">
        <v>1</v>
      </c>
      <c r="AS15" s="155">
        <f t="shared" si="15"/>
        <v>109.49816927783128</v>
      </c>
      <c r="AT15" s="431">
        <v>1</v>
      </c>
      <c r="AU15" s="155">
        <f t="shared" si="16"/>
        <v>97.299399712573916</v>
      </c>
      <c r="AV15" s="431">
        <v>1</v>
      </c>
      <c r="AW15" s="155">
        <f t="shared" si="17"/>
        <v>21.255661097285451</v>
      </c>
      <c r="AX15" s="431">
        <v>1</v>
      </c>
      <c r="AY15" s="155">
        <f t="shared" si="18"/>
        <v>7.5727078962378958</v>
      </c>
      <c r="AZ15" s="155">
        <f t="shared" si="19"/>
        <v>6.7290616579449098</v>
      </c>
      <c r="BA15" s="155">
        <f>main!R16</f>
        <v>38.47</v>
      </c>
      <c r="BB15" s="431">
        <v>1</v>
      </c>
      <c r="BC15" s="155">
        <f>main!S16</f>
        <v>8.34</v>
      </c>
      <c r="BD15" s="431">
        <v>1</v>
      </c>
    </row>
    <row r="16" spans="1:56">
      <c r="A16" s="376">
        <f>main!A17</f>
        <v>2020</v>
      </c>
      <c r="B16" s="376" t="str">
        <f>main!B17</f>
        <v>47_1000</v>
      </c>
      <c r="C16" s="376">
        <f>main!C17</f>
        <v>11</v>
      </c>
      <c r="D16" s="376" t="str">
        <f>main!$B$6</f>
        <v>McLane-PARFLUX-Mark78H-21 ; frame# 12419-01, controller# 12419-01 and Motor # 12419-01 Cup set AAx21</v>
      </c>
      <c r="E16" s="376">
        <v>1000</v>
      </c>
      <c r="F16" s="233">
        <v>1</v>
      </c>
      <c r="G16" s="151">
        <f>main!E17</f>
        <v>300.1571428571429</v>
      </c>
      <c r="H16" s="125">
        <f>main!I17</f>
        <v>60.031428571428577</v>
      </c>
      <c r="I16" s="155">
        <f>main!J17</f>
        <v>21.92647928571429</v>
      </c>
      <c r="J16" s="431">
        <v>1</v>
      </c>
      <c r="K16" s="155">
        <f>main!AF17</f>
        <v>53.821443735457017</v>
      </c>
      <c r="L16" s="155">
        <f>main!AG17</f>
        <v>6.4583430924810212</v>
      </c>
      <c r="M16" s="431">
        <v>1</v>
      </c>
      <c r="N16" s="155">
        <f>main!M17</f>
        <v>18.892843246459961</v>
      </c>
      <c r="O16" s="431">
        <v>1</v>
      </c>
      <c r="P16" s="155">
        <f>main!O17</f>
        <v>2.5016237497329712</v>
      </c>
      <c r="Q16" s="431">
        <v>1</v>
      </c>
      <c r="R16" s="155">
        <f>main!AH17</f>
        <v>12.43450015397894</v>
      </c>
      <c r="S16" s="431">
        <v>1</v>
      </c>
      <c r="T16" s="155">
        <f>main!AB17</f>
        <v>8.939913538849785</v>
      </c>
      <c r="U16" s="431">
        <v>1</v>
      </c>
      <c r="V16" s="155">
        <f>main!AC17</f>
        <v>19.124222305072394</v>
      </c>
      <c r="W16" s="155">
        <f t="shared" si="1"/>
        <v>11.801147711927355</v>
      </c>
      <c r="X16" s="155">
        <f t="shared" si="2"/>
        <v>1.4160872603732109</v>
      </c>
      <c r="Y16" s="155">
        <f t="shared" si="3"/>
        <v>4.1425353609175151</v>
      </c>
      <c r="Z16" s="155">
        <f t="shared" si="4"/>
        <v>0.54851801329170902</v>
      </c>
      <c r="AA16" s="155">
        <f t="shared" si="5"/>
        <v>2.7264481005443035</v>
      </c>
      <c r="AB16" s="155">
        <f t="shared" si="6"/>
        <v>4.1932686422756502</v>
      </c>
      <c r="AC16" s="139">
        <f>main!T17</f>
        <v>44182</v>
      </c>
      <c r="AD16" s="139">
        <f>main!U17</f>
        <v>44192</v>
      </c>
      <c r="AE16" s="139">
        <f>main!V17</f>
        <v>44187</v>
      </c>
      <c r="AF16" s="151">
        <f>main!H17</f>
        <v>10</v>
      </c>
      <c r="AG16" s="125">
        <f t="shared" si="7"/>
        <v>1.9602082902566655</v>
      </c>
      <c r="AH16" s="125">
        <f t="shared" si="8"/>
        <v>0.34492384354017613</v>
      </c>
      <c r="AI16" s="125">
        <f t="shared" si="9"/>
        <v>3.9151892454797221E-2</v>
      </c>
      <c r="AJ16" s="125">
        <f t="shared" si="10"/>
        <v>0.22701482935423012</v>
      </c>
      <c r="AK16" s="125">
        <f t="shared" si="11"/>
        <v>0.11790901418594596</v>
      </c>
      <c r="AL16" s="125">
        <f t="shared" si="12"/>
        <v>6.9783136000593285E-2</v>
      </c>
      <c r="AM16" s="432">
        <f>depths!$B$2</f>
        <v>995.00000000000011</v>
      </c>
      <c r="AN16" s="376"/>
      <c r="AO16" s="155">
        <f t="shared" si="13"/>
        <v>344.92384354017611</v>
      </c>
      <c r="AP16" s="431">
        <v>1</v>
      </c>
      <c r="AQ16" s="155">
        <f t="shared" si="14"/>
        <v>39.15189245479722</v>
      </c>
      <c r="AR16" s="431">
        <v>1</v>
      </c>
      <c r="AS16" s="155">
        <f t="shared" si="15"/>
        <v>227.01482935423013</v>
      </c>
      <c r="AT16" s="431">
        <v>1</v>
      </c>
      <c r="AU16" s="155">
        <f t="shared" si="16"/>
        <v>117.90901418594596</v>
      </c>
      <c r="AV16" s="431">
        <v>1</v>
      </c>
      <c r="AW16" s="155">
        <f t="shared" si="17"/>
        <v>69.783136000593288</v>
      </c>
      <c r="AX16" s="431">
        <v>1</v>
      </c>
      <c r="AY16" s="155">
        <f t="shared" si="18"/>
        <v>5.7983105060969882</v>
      </c>
      <c r="AZ16" s="155">
        <f t="shared" si="19"/>
        <v>3.0115789248777105</v>
      </c>
      <c r="BA16" s="155">
        <f>main!R17</f>
        <v>39.770000000000003</v>
      </c>
      <c r="BB16" s="431">
        <v>1</v>
      </c>
      <c r="BC16" s="155">
        <f>main!S17</f>
        <v>8.42</v>
      </c>
      <c r="BD16" s="431">
        <v>1</v>
      </c>
    </row>
    <row r="17" spans="1:56">
      <c r="A17" s="376">
        <f>main!A18</f>
        <v>2020</v>
      </c>
      <c r="B17" s="376" t="str">
        <f>main!B18</f>
        <v>47_1000</v>
      </c>
      <c r="C17" s="376">
        <f>main!C18</f>
        <v>12</v>
      </c>
      <c r="D17" s="376" t="str">
        <f>main!$B$6</f>
        <v>McLane-PARFLUX-Mark78H-21 ; frame# 12419-01, controller# 12419-01 and Motor # 12419-01 Cup set AAx21</v>
      </c>
      <c r="E17" s="376">
        <v>1000</v>
      </c>
      <c r="F17" s="233">
        <v>1</v>
      </c>
      <c r="G17" s="151">
        <f>main!E18</f>
        <v>515.82857142857142</v>
      </c>
      <c r="H17" s="125">
        <f>main!I18</f>
        <v>103.16571428571429</v>
      </c>
      <c r="I17" s="155">
        <f>main!J18</f>
        <v>37.681277142857148</v>
      </c>
      <c r="J17" s="431">
        <v>1</v>
      </c>
      <c r="K17" s="155">
        <f>main!AF18</f>
        <v>66.010001037733517</v>
      </c>
      <c r="L17" s="155">
        <f>main!AG18</f>
        <v>7.9209178470227322</v>
      </c>
      <c r="M17" s="431">
        <v>1</v>
      </c>
      <c r="N17" s="155">
        <f>main!M18</f>
        <v>14.937522888183594</v>
      </c>
      <c r="O17" s="431">
        <v>1</v>
      </c>
      <c r="P17" s="155">
        <f>main!O18</f>
        <v>1.0447148084640503</v>
      </c>
      <c r="Q17" s="431">
        <v>1</v>
      </c>
      <c r="R17" s="155">
        <f>main!AH18</f>
        <v>7.0166050411608616</v>
      </c>
      <c r="S17" s="431">
        <v>1</v>
      </c>
      <c r="T17" s="155">
        <f>main!AB18</f>
        <v>4.4432831128703842</v>
      </c>
      <c r="U17" s="431">
        <v>1</v>
      </c>
      <c r="V17" s="155">
        <f>main!AC18</f>
        <v>9.5050509879808232</v>
      </c>
      <c r="W17" s="155">
        <f t="shared" si="1"/>
        <v>24.873411433031244</v>
      </c>
      <c r="X17" s="155">
        <f t="shared" si="2"/>
        <v>2.9847030061946693</v>
      </c>
      <c r="Y17" s="155">
        <f t="shared" si="3"/>
        <v>5.6286493977741792</v>
      </c>
      <c r="Z17" s="155">
        <f t="shared" si="4"/>
        <v>0.39366188232980803</v>
      </c>
      <c r="AA17" s="155">
        <f t="shared" si="5"/>
        <v>2.6439463915795103</v>
      </c>
      <c r="AB17" s="155">
        <f t="shared" si="6"/>
        <v>3.5816246053509353</v>
      </c>
      <c r="AC17" s="139">
        <f>main!T18</f>
        <v>44192</v>
      </c>
      <c r="AD17" s="139">
        <f>main!U18</f>
        <v>44202</v>
      </c>
      <c r="AE17" s="139">
        <f>main!V18</f>
        <v>44197</v>
      </c>
      <c r="AF17" s="151">
        <f>main!H18</f>
        <v>10</v>
      </c>
      <c r="AG17" s="125">
        <f t="shared" si="7"/>
        <v>1.6742858240024598</v>
      </c>
      <c r="AH17" s="125">
        <f t="shared" si="8"/>
        <v>0.46866356351158861</v>
      </c>
      <c r="AI17" s="125">
        <f t="shared" si="9"/>
        <v>2.8098635426824271E-2</v>
      </c>
      <c r="AJ17" s="125">
        <f t="shared" si="10"/>
        <v>0.22014541145541303</v>
      </c>
      <c r="AK17" s="125">
        <f t="shared" si="11"/>
        <v>0.24851815205617564</v>
      </c>
      <c r="AL17" s="125">
        <f t="shared" si="12"/>
        <v>5.96043369171399E-2</v>
      </c>
      <c r="AM17" s="432">
        <f>depths!$B$2</f>
        <v>995.00000000000011</v>
      </c>
      <c r="AN17" s="376"/>
      <c r="AO17" s="155">
        <f t="shared" si="13"/>
        <v>468.66356351158862</v>
      </c>
      <c r="AP17" s="431">
        <v>1</v>
      </c>
      <c r="AQ17" s="155">
        <f t="shared" si="14"/>
        <v>28.09863542682427</v>
      </c>
      <c r="AR17" s="431">
        <v>1</v>
      </c>
      <c r="AS17" s="155">
        <f t="shared" si="15"/>
        <v>220.14541145541304</v>
      </c>
      <c r="AT17" s="431">
        <v>1</v>
      </c>
      <c r="AU17" s="155">
        <f t="shared" si="16"/>
        <v>248.51815205617564</v>
      </c>
      <c r="AV17" s="431">
        <v>1</v>
      </c>
      <c r="AW17" s="155">
        <f t="shared" si="17"/>
        <v>59.604336917139896</v>
      </c>
      <c r="AX17" s="431">
        <v>1</v>
      </c>
      <c r="AY17" s="155">
        <f t="shared" si="18"/>
        <v>7.8347367447335872</v>
      </c>
      <c r="AZ17" s="155">
        <f t="shared" si="19"/>
        <v>8.8444918509789474</v>
      </c>
      <c r="BA17" s="155">
        <f>main!R18</f>
        <v>39.114999999999995</v>
      </c>
      <c r="BB17" s="431">
        <v>1</v>
      </c>
      <c r="BC17" s="155">
        <f>main!S18</f>
        <v>8.4149999999999991</v>
      </c>
      <c r="BD17" s="431">
        <v>1</v>
      </c>
    </row>
    <row r="18" spans="1:56">
      <c r="A18" s="376">
        <f>main!A19</f>
        <v>2020</v>
      </c>
      <c r="B18" s="376" t="str">
        <f>main!B19</f>
        <v>47_1000</v>
      </c>
      <c r="C18" s="376">
        <f>main!C19</f>
        <v>13</v>
      </c>
      <c r="D18" s="376" t="str">
        <f>main!$B$6</f>
        <v>McLane-PARFLUX-Mark78H-21 ; frame# 12419-01, controller# 12419-01 and Motor # 12419-01 Cup set AAx21</v>
      </c>
      <c r="E18" s="376">
        <v>1000</v>
      </c>
      <c r="F18" s="233">
        <v>1</v>
      </c>
      <c r="G18" s="151">
        <f>main!E19</f>
        <v>671.31428571428569</v>
      </c>
      <c r="H18" s="125">
        <f>main!I19</f>
        <v>134.26285714285714</v>
      </c>
      <c r="I18" s="155">
        <f>main!J19</f>
        <v>49.03950857142857</v>
      </c>
      <c r="J18" s="431">
        <v>1</v>
      </c>
      <c r="K18" s="155">
        <f>main!AF19</f>
        <v>57.371166334528922</v>
      </c>
      <c r="L18" s="155">
        <f>main!AG19</f>
        <v>6.8842946247480175</v>
      </c>
      <c r="M18" s="431">
        <v>1</v>
      </c>
      <c r="N18" s="155">
        <f>main!M19</f>
        <v>14.958255767822266</v>
      </c>
      <c r="O18" s="431">
        <v>1</v>
      </c>
      <c r="P18" s="155">
        <f>main!O19</f>
        <v>1.2871034145355225</v>
      </c>
      <c r="Q18" s="431">
        <v>1</v>
      </c>
      <c r="R18" s="155">
        <f>main!AH19</f>
        <v>8.0739611430742482</v>
      </c>
      <c r="S18" s="431">
        <v>1</v>
      </c>
      <c r="T18" s="155">
        <f>main!AB19</f>
        <v>7.0473298904850807</v>
      </c>
      <c r="U18" s="431">
        <v>1</v>
      </c>
      <c r="V18" s="155">
        <f>main!AC19</f>
        <v>15.075615988581292</v>
      </c>
      <c r="W18" s="155">
        <f t="shared" si="1"/>
        <v>28.134538032149852</v>
      </c>
      <c r="X18" s="155">
        <f t="shared" si="2"/>
        <v>3.3760242525857005</v>
      </c>
      <c r="Y18" s="155">
        <f t="shared" si="3"/>
        <v>7.335455119397408</v>
      </c>
      <c r="Z18" s="155">
        <f t="shared" si="4"/>
        <v>0.63118918929429735</v>
      </c>
      <c r="AA18" s="155">
        <f t="shared" si="5"/>
        <v>3.9594308668117084</v>
      </c>
      <c r="AB18" s="155">
        <f t="shared" si="6"/>
        <v>7.3930079949159788</v>
      </c>
      <c r="AC18" s="139">
        <f>main!T19</f>
        <v>44202</v>
      </c>
      <c r="AD18" s="139">
        <f>main!U19</f>
        <v>44212</v>
      </c>
      <c r="AE18" s="139">
        <f>main!V19</f>
        <v>44207</v>
      </c>
      <c r="AF18" s="151">
        <f>main!H19</f>
        <v>10</v>
      </c>
      <c r="AG18" s="125">
        <f t="shared" si="7"/>
        <v>3.4559759457012791</v>
      </c>
      <c r="AH18" s="125">
        <f t="shared" si="8"/>
        <v>0.61077894416298151</v>
      </c>
      <c r="AI18" s="125">
        <f t="shared" si="9"/>
        <v>4.5052761548486607E-2</v>
      </c>
      <c r="AJ18" s="125">
        <f t="shared" si="10"/>
        <v>0.32967784070039202</v>
      </c>
      <c r="AK18" s="125">
        <f t="shared" si="11"/>
        <v>0.28110110346258954</v>
      </c>
      <c r="AL18" s="125">
        <f t="shared" si="12"/>
        <v>0.12303225153795938</v>
      </c>
      <c r="AM18" s="432">
        <f>depths!$B$2</f>
        <v>995.00000000000011</v>
      </c>
      <c r="AN18" s="376"/>
      <c r="AO18" s="155">
        <f t="shared" si="13"/>
        <v>610.77894416298147</v>
      </c>
      <c r="AP18" s="431">
        <v>1</v>
      </c>
      <c r="AQ18" s="155">
        <f t="shared" si="14"/>
        <v>45.052761548486608</v>
      </c>
      <c r="AR18" s="431">
        <v>1</v>
      </c>
      <c r="AS18" s="155">
        <f t="shared" si="15"/>
        <v>329.67784070039204</v>
      </c>
      <c r="AT18" s="431">
        <v>1</v>
      </c>
      <c r="AU18" s="155">
        <f t="shared" si="16"/>
        <v>281.10110346258955</v>
      </c>
      <c r="AV18" s="431">
        <v>1</v>
      </c>
      <c r="AW18" s="155">
        <f t="shared" si="17"/>
        <v>123.03225153795938</v>
      </c>
      <c r="AX18" s="431">
        <v>1</v>
      </c>
      <c r="AY18" s="155">
        <f t="shared" si="18"/>
        <v>7.3175945129487054</v>
      </c>
      <c r="AZ18" s="155">
        <f t="shared" si="19"/>
        <v>6.2393756520355224</v>
      </c>
      <c r="BA18" s="155">
        <f>main!R19</f>
        <v>39.880000000000003</v>
      </c>
      <c r="BB18" s="431">
        <v>1</v>
      </c>
      <c r="BC18" s="155">
        <f>main!S19</f>
        <v>8.3699999999999992</v>
      </c>
      <c r="BD18" s="431">
        <v>1</v>
      </c>
    </row>
    <row r="19" spans="1:56">
      <c r="A19" s="376">
        <f>main!A20</f>
        <v>2020</v>
      </c>
      <c r="B19" s="376" t="str">
        <f>main!B20</f>
        <v>47_1000</v>
      </c>
      <c r="C19" s="376">
        <f>main!C20</f>
        <v>14</v>
      </c>
      <c r="D19" s="376" t="str">
        <f>main!$B$6</f>
        <v>McLane-PARFLUX-Mark78H-21 ; frame# 12419-01, controller# 12419-01 and Motor # 12419-01 Cup set AAx21</v>
      </c>
      <c r="E19" s="376">
        <v>1000</v>
      </c>
      <c r="F19" s="233">
        <v>1</v>
      </c>
      <c r="G19" s="151">
        <f>main!E20</f>
        <v>354.2714285714286</v>
      </c>
      <c r="H19" s="125">
        <f>main!I20</f>
        <v>70.854285714285723</v>
      </c>
      <c r="I19" s="155">
        <f>main!J20</f>
        <v>25.879527857142858</v>
      </c>
      <c r="J19" s="431">
        <v>1</v>
      </c>
      <c r="K19" s="155">
        <f>main!AF20</f>
        <v>63.755232943097894</v>
      </c>
      <c r="L19" s="155">
        <f>main!AG20</f>
        <v>7.6503553176949799</v>
      </c>
      <c r="M19" s="431">
        <v>1</v>
      </c>
      <c r="N19" s="155">
        <f>main!M20</f>
        <v>15.050312995910645</v>
      </c>
      <c r="O19" s="431">
        <v>1</v>
      </c>
      <c r="P19" s="155">
        <f>main!O20</f>
        <v>1.131980299949646</v>
      </c>
      <c r="Q19" s="431">
        <v>1</v>
      </c>
      <c r="R19" s="155">
        <f>main!AH20</f>
        <v>7.3999576782156646</v>
      </c>
      <c r="S19" s="431">
        <v>1</v>
      </c>
      <c r="T19" s="155">
        <f>main!AB20</f>
        <v>3.5348340234192897</v>
      </c>
      <c r="U19" s="431">
        <v>1</v>
      </c>
      <c r="V19" s="155">
        <f>main!AC20</f>
        <v>7.5617008354312967</v>
      </c>
      <c r="W19" s="155">
        <f t="shared" si="1"/>
        <v>16.49955326989534</v>
      </c>
      <c r="X19" s="155">
        <f t="shared" si="2"/>
        <v>1.9798758356132824</v>
      </c>
      <c r="Y19" s="155">
        <f t="shared" si="3"/>
        <v>3.8949499443638871</v>
      </c>
      <c r="Z19" s="155">
        <f t="shared" si="4"/>
        <v>0.29295115706283792</v>
      </c>
      <c r="AA19" s="155">
        <f t="shared" si="5"/>
        <v>1.9150741087506047</v>
      </c>
      <c r="AB19" s="155">
        <f t="shared" si="6"/>
        <v>1.9569324741792467</v>
      </c>
      <c r="AC19" s="139">
        <f>main!T20</f>
        <v>44212</v>
      </c>
      <c r="AD19" s="139">
        <f>main!U20</f>
        <v>44222</v>
      </c>
      <c r="AE19" s="139">
        <f>main!V20</f>
        <v>44217</v>
      </c>
      <c r="AF19" s="151">
        <f>main!H20</f>
        <v>10</v>
      </c>
      <c r="AG19" s="125">
        <f t="shared" si="7"/>
        <v>0.9147983557945587</v>
      </c>
      <c r="AH19" s="125">
        <f t="shared" si="8"/>
        <v>0.32430890460981576</v>
      </c>
      <c r="AI19" s="125">
        <f t="shared" si="9"/>
        <v>2.0910146828182579E-2</v>
      </c>
      <c r="AJ19" s="125">
        <f t="shared" si="10"/>
        <v>0.15945662853876807</v>
      </c>
      <c r="AK19" s="125">
        <f t="shared" si="11"/>
        <v>0.16485227607104766</v>
      </c>
      <c r="AL19" s="125">
        <f t="shared" si="12"/>
        <v>3.2566691199521491E-2</v>
      </c>
      <c r="AM19" s="432">
        <f>depths!$B$2</f>
        <v>995.00000000000011</v>
      </c>
      <c r="AN19" s="376"/>
      <c r="AO19" s="155">
        <f t="shared" si="13"/>
        <v>324.30890460981578</v>
      </c>
      <c r="AP19" s="431">
        <v>1</v>
      </c>
      <c r="AQ19" s="155">
        <f t="shared" si="14"/>
        <v>20.91014682818258</v>
      </c>
      <c r="AR19" s="431">
        <v>1</v>
      </c>
      <c r="AS19" s="155">
        <f t="shared" si="15"/>
        <v>159.45662853876809</v>
      </c>
      <c r="AT19" s="431">
        <v>1</v>
      </c>
      <c r="AU19" s="155">
        <f t="shared" si="16"/>
        <v>164.85227607104767</v>
      </c>
      <c r="AV19" s="431">
        <v>1</v>
      </c>
      <c r="AW19" s="155">
        <f t="shared" si="17"/>
        <v>32.566691199521493</v>
      </c>
      <c r="AX19" s="431">
        <v>1</v>
      </c>
      <c r="AY19" s="155">
        <f t="shared" si="18"/>
        <v>7.6258014756669867</v>
      </c>
      <c r="AZ19" s="155">
        <f t="shared" si="19"/>
        <v>7.8838411526054273</v>
      </c>
      <c r="BA19" s="155">
        <f>main!R20</f>
        <v>38.74</v>
      </c>
      <c r="BB19" s="431">
        <v>1</v>
      </c>
      <c r="BC19" s="155">
        <f>main!S20</f>
        <v>8.31</v>
      </c>
      <c r="BD19" s="431">
        <v>1</v>
      </c>
    </row>
    <row r="20" spans="1:56">
      <c r="A20" s="376">
        <f>main!A21</f>
        <v>2020</v>
      </c>
      <c r="B20" s="376" t="str">
        <f>main!B21</f>
        <v>47_1000</v>
      </c>
      <c r="C20" s="376">
        <f>main!C21</f>
        <v>15</v>
      </c>
      <c r="D20" s="376" t="str">
        <f>main!$B$6</f>
        <v>McLane-PARFLUX-Mark78H-21 ; frame# 12419-01, controller# 12419-01 and Motor # 12419-01 Cup set AAx21</v>
      </c>
      <c r="E20" s="376">
        <v>1000</v>
      </c>
      <c r="F20" s="233">
        <v>1</v>
      </c>
      <c r="G20" s="151">
        <f>main!E21</f>
        <v>168.98571428571429</v>
      </c>
      <c r="H20" s="125">
        <f>main!I21</f>
        <v>33.797142857142859</v>
      </c>
      <c r="I20" s="155">
        <f>main!J21</f>
        <v>12.34440642857143</v>
      </c>
      <c r="J20" s="431">
        <v>1</v>
      </c>
      <c r="K20" s="155">
        <f>main!AF21</f>
        <v>71.363690001210657</v>
      </c>
      <c r="L20" s="155">
        <f>main!AG21</f>
        <v>8.5633376287460194</v>
      </c>
      <c r="M20" s="431">
        <v>1</v>
      </c>
      <c r="N20" s="155">
        <f>main!M21</f>
        <v>14.684128284454346</v>
      </c>
      <c r="O20" s="431">
        <v>1</v>
      </c>
      <c r="P20" s="155">
        <f>main!O21</f>
        <v>1.034546434879303</v>
      </c>
      <c r="Q20" s="431">
        <v>1</v>
      </c>
      <c r="R20" s="155">
        <f>main!AH21</f>
        <v>6.1207906557083263</v>
      </c>
      <c r="S20" s="431">
        <v>1</v>
      </c>
      <c r="T20" s="155">
        <f>main!AB21</f>
        <v>1.7803086555360281</v>
      </c>
      <c r="U20" s="431">
        <v>1</v>
      </c>
      <c r="V20" s="155">
        <f>main!AC21</f>
        <v>3.8084281634446397</v>
      </c>
      <c r="W20" s="155">
        <f t="shared" si="1"/>
        <v>8.8094239361752358</v>
      </c>
      <c r="X20" s="155">
        <f t="shared" si="2"/>
        <v>1.0570932007431999</v>
      </c>
      <c r="Y20" s="155">
        <f t="shared" si="3"/>
        <v>1.8126684759258578</v>
      </c>
      <c r="Z20" s="155">
        <f t="shared" si="4"/>
        <v>0.1277086166137972</v>
      </c>
      <c r="AA20" s="155">
        <f t="shared" si="5"/>
        <v>0.75557527518265799</v>
      </c>
      <c r="AB20" s="155">
        <f t="shared" si="6"/>
        <v>0.47012785103578492</v>
      </c>
      <c r="AC20" s="139">
        <f>main!T21</f>
        <v>44222</v>
      </c>
      <c r="AD20" s="139">
        <f>main!U21</f>
        <v>44232</v>
      </c>
      <c r="AE20" s="139">
        <f>main!V21</f>
        <v>44227</v>
      </c>
      <c r="AF20" s="151">
        <f>main!H21</f>
        <v>10</v>
      </c>
      <c r="AG20" s="125">
        <f t="shared" si="7"/>
        <v>0.21976853612240305</v>
      </c>
      <c r="AH20" s="125">
        <f t="shared" si="8"/>
        <v>0.15092993138433453</v>
      </c>
      <c r="AI20" s="125">
        <f t="shared" si="9"/>
        <v>9.1155329488791723E-3</v>
      </c>
      <c r="AJ20" s="125">
        <f t="shared" si="10"/>
        <v>6.2912179449013991E-2</v>
      </c>
      <c r="AK20" s="125">
        <f t="shared" si="11"/>
        <v>8.8017751935320562E-2</v>
      </c>
      <c r="AL20" s="125">
        <f t="shared" si="12"/>
        <v>7.8237285910431852E-3</v>
      </c>
      <c r="AM20" s="432">
        <f>depths!$B$2</f>
        <v>995.00000000000011</v>
      </c>
      <c r="AN20" s="376"/>
      <c r="AO20" s="155">
        <f t="shared" si="13"/>
        <v>150.92993138433454</v>
      </c>
      <c r="AP20" s="431">
        <v>1</v>
      </c>
      <c r="AQ20" s="155">
        <f t="shared" si="14"/>
        <v>9.1155329488791725</v>
      </c>
      <c r="AR20" s="431">
        <v>1</v>
      </c>
      <c r="AS20" s="155">
        <f t="shared" si="15"/>
        <v>62.912179449013991</v>
      </c>
      <c r="AT20" s="431">
        <v>1</v>
      </c>
      <c r="AU20" s="155">
        <f t="shared" si="16"/>
        <v>88.017751935320561</v>
      </c>
      <c r="AV20" s="431">
        <v>1</v>
      </c>
      <c r="AW20" s="155">
        <f t="shared" si="17"/>
        <v>7.8237285910431851</v>
      </c>
      <c r="AX20" s="431">
        <v>1</v>
      </c>
      <c r="AY20" s="155">
        <f t="shared" si="18"/>
        <v>6.9016457734102694</v>
      </c>
      <c r="AZ20" s="155">
        <f t="shared" si="19"/>
        <v>9.6557987809306365</v>
      </c>
      <c r="BA20" s="155">
        <f>main!R21</f>
        <v>37.24</v>
      </c>
      <c r="BB20" s="431">
        <v>1</v>
      </c>
      <c r="BC20" s="155">
        <f>main!S21</f>
        <v>8.36</v>
      </c>
      <c r="BD20" s="431">
        <v>1</v>
      </c>
    </row>
    <row r="21" spans="1:56" s="489" customFormat="1">
      <c r="A21" s="489">
        <f>main!A22</f>
        <v>2020</v>
      </c>
      <c r="B21" s="489" t="str">
        <f>main!B22</f>
        <v>47_1000</v>
      </c>
      <c r="C21" s="489">
        <f>main!C22</f>
        <v>16</v>
      </c>
      <c r="D21" s="489" t="str">
        <f>main!$B$6</f>
        <v>McLane-PARFLUX-Mark78H-21 ; frame# 12419-01, controller# 12419-01 and Motor # 12419-01 Cup set AAx21</v>
      </c>
      <c r="E21" s="489">
        <v>1000</v>
      </c>
      <c r="F21" s="233">
        <v>1</v>
      </c>
      <c r="G21" s="490">
        <f>main!E22</f>
        <v>126.16428571428571</v>
      </c>
      <c r="H21" s="491">
        <f>main!I22</f>
        <v>12.616428571428571</v>
      </c>
      <c r="I21" s="492">
        <f>main!J22</f>
        <v>4.6081505357142856</v>
      </c>
      <c r="J21" s="493">
        <v>1</v>
      </c>
      <c r="K21" s="492">
        <f>main!AF22</f>
        <v>63.815883762088824</v>
      </c>
      <c r="L21" s="492">
        <f>main!AG22</f>
        <v>7.6576331566137705</v>
      </c>
      <c r="M21" s="493">
        <v>1</v>
      </c>
      <c r="N21" s="492">
        <f>main!M22</f>
        <v>16.873802185058594</v>
      </c>
      <c r="O21" s="493">
        <v>1</v>
      </c>
      <c r="P21" s="492">
        <f>main!O22</f>
        <v>2.0877974033355713</v>
      </c>
      <c r="Q21" s="493">
        <v>1</v>
      </c>
      <c r="R21" s="492">
        <f>main!AH22</f>
        <v>9.2161690284448241</v>
      </c>
      <c r="S21" s="493">
        <v>1</v>
      </c>
      <c r="T21" s="492">
        <f>main!AB22</f>
        <v>1.1780830604108081</v>
      </c>
      <c r="U21" s="493">
        <v>1</v>
      </c>
      <c r="V21" s="492">
        <f>main!AC22</f>
        <v>2.5201499145633841</v>
      </c>
      <c r="W21" s="492">
        <f t="shared" si="1"/>
        <v>2.9407319894535018</v>
      </c>
      <c r="X21" s="492">
        <f t="shared" si="2"/>
        <v>0.35287526332953223</v>
      </c>
      <c r="Y21" s="492">
        <f t="shared" si="3"/>
        <v>0.77757020578614644</v>
      </c>
      <c r="Z21" s="492">
        <f t="shared" si="4"/>
        <v>9.6208847226437078E-2</v>
      </c>
      <c r="AA21" s="492">
        <f t="shared" si="5"/>
        <v>0.42469494245661427</v>
      </c>
      <c r="AB21" s="492">
        <f t="shared" si="6"/>
        <v>0.11613230178875569</v>
      </c>
      <c r="AC21" s="494">
        <f>main!T22</f>
        <v>44232</v>
      </c>
      <c r="AD21" s="494">
        <f>main!U22</f>
        <v>44242</v>
      </c>
      <c r="AE21" s="494">
        <f>main!V22</f>
        <v>44237</v>
      </c>
      <c r="AF21" s="490">
        <f>main!H22</f>
        <v>10</v>
      </c>
      <c r="AG21" s="491">
        <f>(T21/100)*$I21</f>
        <v>5.4287840859479908E-2</v>
      </c>
      <c r="AH21" s="491">
        <f t="shared" si="8"/>
        <v>6.474356417869663E-2</v>
      </c>
      <c r="AI21" s="491">
        <f t="shared" si="9"/>
        <v>6.867155405170384E-3</v>
      </c>
      <c r="AJ21" s="491">
        <f t="shared" si="10"/>
        <v>3.5361777057170217E-2</v>
      </c>
      <c r="AK21" s="491">
        <f t="shared" si="11"/>
        <v>2.9381787121526413E-2</v>
      </c>
      <c r="AL21" s="491">
        <f t="shared" si="12"/>
        <v>1.9326394040398685E-3</v>
      </c>
      <c r="AM21" s="495">
        <f>depths!$B$2</f>
        <v>995.00000000000011</v>
      </c>
      <c r="AO21" s="492">
        <f t="shared" si="13"/>
        <v>64.74356417869663</v>
      </c>
      <c r="AP21" s="493">
        <v>1</v>
      </c>
      <c r="AQ21" s="492">
        <f t="shared" si="14"/>
        <v>6.8671554051703838</v>
      </c>
      <c r="AR21" s="493">
        <v>1</v>
      </c>
      <c r="AS21" s="492">
        <f t="shared" si="15"/>
        <v>35.361777057170215</v>
      </c>
      <c r="AT21" s="493">
        <v>1</v>
      </c>
      <c r="AU21" s="492">
        <f t="shared" si="16"/>
        <v>29.381787121526415</v>
      </c>
      <c r="AV21" s="493">
        <v>1</v>
      </c>
      <c r="AW21" s="492">
        <f t="shared" si="17"/>
        <v>1.9326394040398684</v>
      </c>
      <c r="AX21" s="493">
        <v>1</v>
      </c>
      <c r="AY21" s="492">
        <f t="shared" si="18"/>
        <v>5.1494068461805602</v>
      </c>
      <c r="AZ21" s="492">
        <f t="shared" si="19"/>
        <v>4.2785965058260409</v>
      </c>
      <c r="BA21" s="492">
        <f>main!R22</f>
        <v>39.270000000000003</v>
      </c>
      <c r="BB21" s="431">
        <v>1</v>
      </c>
      <c r="BC21" s="492">
        <f>main!S22</f>
        <v>8.5299999999999994</v>
      </c>
      <c r="BD21" s="431">
        <v>1</v>
      </c>
    </row>
    <row r="22" spans="1:56" s="489" customFormat="1">
      <c r="A22" s="489">
        <f>main!A23</f>
        <v>2020</v>
      </c>
      <c r="B22" s="489" t="str">
        <f>main!B23</f>
        <v>47_1000</v>
      </c>
      <c r="C22" s="489">
        <f>main!C23</f>
        <v>17</v>
      </c>
      <c r="D22" s="489" t="str">
        <f>main!$B$6</f>
        <v>McLane-PARFLUX-Mark78H-21 ; frame# 12419-01, controller# 12419-01 and Motor # 12419-01 Cup set AAx21</v>
      </c>
      <c r="E22" s="489">
        <v>1000</v>
      </c>
      <c r="F22" s="233">
        <v>1</v>
      </c>
      <c r="G22" s="490" t="str">
        <f>main!E23</f>
        <v>16 and 17 were combined at filtration stage (splits 4-10 each) due to low sample volume</v>
      </c>
      <c r="H22" s="491" t="str">
        <f>main!I23</f>
        <v>NA</v>
      </c>
      <c r="I22" s="492" t="str">
        <f>main!J23</f>
        <v>NA</v>
      </c>
      <c r="J22" s="493">
        <v>9</v>
      </c>
      <c r="K22" s="492" t="str">
        <f>main!AF23</f>
        <v>NA</v>
      </c>
      <c r="L22" s="492" t="str">
        <f>main!AG23</f>
        <v>NA</v>
      </c>
      <c r="M22" s="493">
        <v>9</v>
      </c>
      <c r="N22" s="492" t="str">
        <f>main!M23</f>
        <v>NA</v>
      </c>
      <c r="O22" s="493">
        <v>9</v>
      </c>
      <c r="P22" s="492" t="str">
        <f>main!O23</f>
        <v>NA</v>
      </c>
      <c r="Q22" s="493">
        <v>9</v>
      </c>
      <c r="R22" s="492" t="str">
        <f>main!AH23</f>
        <v>NA</v>
      </c>
      <c r="S22" s="493">
        <v>9</v>
      </c>
      <c r="T22" s="492" t="str">
        <f>main!AB23</f>
        <v>NA</v>
      </c>
      <c r="U22" s="493">
        <v>9</v>
      </c>
      <c r="V22" s="492" t="str">
        <f>main!AC23</f>
        <v>NA</v>
      </c>
      <c r="W22" s="492" t="s">
        <v>1899</v>
      </c>
      <c r="X22" s="492" t="s">
        <v>1899</v>
      </c>
      <c r="Y22" s="492" t="s">
        <v>1899</v>
      </c>
      <c r="Z22" s="492" t="s">
        <v>1899</v>
      </c>
      <c r="AA22" s="492" t="s">
        <v>1899</v>
      </c>
      <c r="AB22" s="492" t="s">
        <v>1899</v>
      </c>
      <c r="AC22" s="494">
        <f>main!T23</f>
        <v>44242</v>
      </c>
      <c r="AD22" s="494">
        <f>main!U23</f>
        <v>44252</v>
      </c>
      <c r="AE22" s="494">
        <f>main!V23</f>
        <v>44247</v>
      </c>
      <c r="AF22" s="490">
        <f>main!H23</f>
        <v>10</v>
      </c>
      <c r="AG22" s="492" t="s">
        <v>1899</v>
      </c>
      <c r="AH22" s="492" t="s">
        <v>1899</v>
      </c>
      <c r="AI22" s="492" t="s">
        <v>1899</v>
      </c>
      <c r="AJ22" s="492" t="s">
        <v>1899</v>
      </c>
      <c r="AK22" s="492" t="s">
        <v>1899</v>
      </c>
      <c r="AL22" s="492" t="s">
        <v>1899</v>
      </c>
      <c r="AM22" s="495">
        <f>depths!$B$2</f>
        <v>995.00000000000011</v>
      </c>
      <c r="AO22" s="492" t="s">
        <v>1899</v>
      </c>
      <c r="AP22" s="493">
        <v>9</v>
      </c>
      <c r="AQ22" s="492" t="s">
        <v>1899</v>
      </c>
      <c r="AR22" s="493">
        <v>9</v>
      </c>
      <c r="AS22" s="492" t="s">
        <v>1899</v>
      </c>
      <c r="AT22" s="493">
        <v>9</v>
      </c>
      <c r="AU22" s="492" t="s">
        <v>1899</v>
      </c>
      <c r="AV22" s="493">
        <v>9</v>
      </c>
      <c r="AW22" s="492" t="s">
        <v>1899</v>
      </c>
      <c r="AX22" s="493">
        <v>9</v>
      </c>
      <c r="AY22" s="492" t="s">
        <v>1899</v>
      </c>
      <c r="AZ22" s="492" t="s">
        <v>1899</v>
      </c>
      <c r="BA22" s="492">
        <f>main!R23</f>
        <v>39.75</v>
      </c>
      <c r="BB22" s="431">
        <v>1</v>
      </c>
      <c r="BC22" s="492">
        <f>main!S23</f>
        <v>8.26</v>
      </c>
      <c r="BD22" s="431">
        <v>1</v>
      </c>
    </row>
    <row r="23" spans="1:56">
      <c r="A23" s="376">
        <f>main!A24</f>
        <v>2020</v>
      </c>
      <c r="B23" s="376" t="str">
        <f>main!B24</f>
        <v>47_1000</v>
      </c>
      <c r="C23" s="376">
        <f>main!C24</f>
        <v>18</v>
      </c>
      <c r="D23" s="376" t="str">
        <f>main!$B$6</f>
        <v>McLane-PARFLUX-Mark78H-21 ; frame# 12419-01, controller# 12419-01 and Motor # 12419-01 Cup set AAx21</v>
      </c>
      <c r="E23" s="376">
        <v>1000</v>
      </c>
      <c r="F23" s="233">
        <v>1</v>
      </c>
      <c r="G23" s="151">
        <f>main!E24</f>
        <v>73.314285714285731</v>
      </c>
      <c r="H23" s="125">
        <f>main!I24</f>
        <v>14.662857142857145</v>
      </c>
      <c r="I23" s="155">
        <f>main!J24</f>
        <v>5.3556085714285731</v>
      </c>
      <c r="J23" s="431">
        <v>1</v>
      </c>
      <c r="K23" s="155">
        <f>main!AF24</f>
        <v>64.835159973201399</v>
      </c>
      <c r="L23" s="155">
        <f>main!AG24</f>
        <v>7.779941943232819</v>
      </c>
      <c r="M23" s="431">
        <v>1</v>
      </c>
      <c r="N23" s="155">
        <f>main!M24</f>
        <v>17.195487976074219</v>
      </c>
      <c r="O23" s="431">
        <v>1</v>
      </c>
      <c r="P23" s="155">
        <f>main!O24</f>
        <v>1.5782257318496704</v>
      </c>
      <c r="Q23" s="431">
        <v>1</v>
      </c>
      <c r="R23" s="155">
        <f>main!AH24</f>
        <v>9.4155460328413998</v>
      </c>
      <c r="S23" s="431">
        <v>1</v>
      </c>
      <c r="T23" s="155">
        <f>main!AB24</f>
        <v>2.3456241663983803</v>
      </c>
      <c r="U23" s="431">
        <v>1</v>
      </c>
      <c r="V23" s="155">
        <f>main!AC24</f>
        <v>5.0177485282619685</v>
      </c>
      <c r="W23" s="155">
        <f t="shared" si="1"/>
        <v>3.4723173848242013</v>
      </c>
      <c r="X23" s="155">
        <f t="shared" si="2"/>
        <v>0.41666323756394358</v>
      </c>
      <c r="Y23" s="155">
        <f t="shared" si="3"/>
        <v>0.92092302794560055</v>
      </c>
      <c r="Z23" s="155">
        <f t="shared" si="4"/>
        <v>8.4523592571432285E-2</v>
      </c>
      <c r="AA23" s="155">
        <f t="shared" si="5"/>
        <v>0.50425979038165702</v>
      </c>
      <c r="AB23" s="155">
        <f t="shared" si="6"/>
        <v>0.26873097027232906</v>
      </c>
      <c r="AC23" s="139">
        <f>main!T24</f>
        <v>44252</v>
      </c>
      <c r="AD23" s="139">
        <f>main!U24</f>
        <v>44262</v>
      </c>
      <c r="AE23" s="139">
        <f>main!V24</f>
        <v>44257</v>
      </c>
      <c r="AF23" s="151">
        <f>main!H24</f>
        <v>10</v>
      </c>
      <c r="AG23" s="125">
        <f t="shared" si="7"/>
        <v>0.12562244890913168</v>
      </c>
      <c r="AH23" s="125">
        <f t="shared" si="8"/>
        <v>7.6679685923863497E-2</v>
      </c>
      <c r="AI23" s="125">
        <f t="shared" si="9"/>
        <v>6.0330901193028042E-3</v>
      </c>
      <c r="AJ23" s="125">
        <f t="shared" si="10"/>
        <v>4.198666031487569E-2</v>
      </c>
      <c r="AK23" s="125">
        <f t="shared" si="11"/>
        <v>3.4693025608987807E-2</v>
      </c>
      <c r="AL23" s="125">
        <f t="shared" si="12"/>
        <v>4.4721412925999172E-3</v>
      </c>
      <c r="AM23" s="432">
        <f>depths!$B$2</f>
        <v>995.00000000000011</v>
      </c>
      <c r="AN23" s="376"/>
      <c r="AO23" s="155">
        <f t="shared" si="13"/>
        <v>76.679685923863502</v>
      </c>
      <c r="AP23" s="431">
        <v>1</v>
      </c>
      <c r="AQ23" s="155">
        <f t="shared" si="14"/>
        <v>6.0330901193028046</v>
      </c>
      <c r="AR23" s="431">
        <v>1</v>
      </c>
      <c r="AS23" s="155">
        <f t="shared" si="15"/>
        <v>41.986660314875692</v>
      </c>
      <c r="AT23" s="431">
        <v>1</v>
      </c>
      <c r="AU23" s="155">
        <f t="shared" si="16"/>
        <v>34.69302560898781</v>
      </c>
      <c r="AV23" s="431">
        <v>1</v>
      </c>
      <c r="AW23" s="155">
        <f t="shared" si="17"/>
        <v>4.4721412925999173</v>
      </c>
      <c r="AX23" s="431">
        <v>1</v>
      </c>
      <c r="AY23" s="155">
        <f t="shared" si="18"/>
        <v>6.9593955145042239</v>
      </c>
      <c r="AZ23" s="155">
        <f t="shared" si="19"/>
        <v>5.7504570498603798</v>
      </c>
      <c r="BA23" s="155">
        <f>main!R24</f>
        <v>39.590000000000003</v>
      </c>
      <c r="BB23" s="431">
        <v>1</v>
      </c>
      <c r="BC23" s="155">
        <f>main!S24</f>
        <v>8.4499999999999993</v>
      </c>
      <c r="BD23" s="431">
        <v>1</v>
      </c>
    </row>
    <row r="24" spans="1:56">
      <c r="A24" s="376">
        <f>main!A25</f>
        <v>2020</v>
      </c>
      <c r="B24" s="376" t="str">
        <f>main!B25</f>
        <v>47_1000</v>
      </c>
      <c r="C24" s="376">
        <f>main!C25</f>
        <v>19</v>
      </c>
      <c r="D24" s="376" t="str">
        <f>main!$B$6</f>
        <v>McLane-PARFLUX-Mark78H-21 ; frame# 12419-01, controller# 12419-01 and Motor # 12419-01 Cup set AAx21</v>
      </c>
      <c r="E24" s="376">
        <v>1000</v>
      </c>
      <c r="F24" s="233">
        <v>1</v>
      </c>
      <c r="G24" s="151">
        <f>main!E25</f>
        <v>115.95714285714286</v>
      </c>
      <c r="H24" s="125">
        <f>main!I25</f>
        <v>23.19142857142857</v>
      </c>
      <c r="I24" s="155">
        <f>main!J25</f>
        <v>8.4706692857142851</v>
      </c>
      <c r="J24" s="431">
        <v>1</v>
      </c>
      <c r="K24" s="155">
        <f>main!AF25</f>
        <v>67.795324463626258</v>
      </c>
      <c r="L24" s="155">
        <f>main!AG25</f>
        <v>8.1351490235800217</v>
      </c>
      <c r="M24" s="431">
        <v>1</v>
      </c>
      <c r="N24" s="155">
        <f>main!M25</f>
        <v>16.143436431884766</v>
      </c>
      <c r="O24" s="431">
        <v>1</v>
      </c>
      <c r="P24" s="155">
        <f>main!O25</f>
        <v>1.3085955381393433</v>
      </c>
      <c r="Q24" s="431">
        <v>1</v>
      </c>
      <c r="R24" s="155">
        <f>main!AH25</f>
        <v>8.0082874083047439</v>
      </c>
      <c r="S24" s="431">
        <v>1</v>
      </c>
      <c r="T24" s="155">
        <f>main!AB25</f>
        <v>3.1318612688082719</v>
      </c>
      <c r="U24" s="431">
        <v>1</v>
      </c>
      <c r="V24" s="155">
        <f>main!AC25</f>
        <v>6.6996633550263098</v>
      </c>
      <c r="W24" s="155">
        <f t="shared" si="1"/>
        <v>5.7427177264907323</v>
      </c>
      <c r="X24" s="155">
        <f t="shared" si="2"/>
        <v>0.68910156968747838</v>
      </c>
      <c r="Y24" s="155">
        <f t="shared" si="3"/>
        <v>1.3674571114944731</v>
      </c>
      <c r="Z24" s="155">
        <f t="shared" si="4"/>
        <v>0.11084680032339692</v>
      </c>
      <c r="AA24" s="155">
        <f t="shared" si="5"/>
        <v>0.67835554180699453</v>
      </c>
      <c r="AB24" s="155">
        <f t="shared" si="6"/>
        <v>0.5675063260604688</v>
      </c>
      <c r="AC24" s="139">
        <f>main!T25</f>
        <v>44262</v>
      </c>
      <c r="AD24" s="139">
        <f>main!U25</f>
        <v>44272</v>
      </c>
      <c r="AE24" s="139">
        <f>main!V25</f>
        <v>44267</v>
      </c>
      <c r="AF24" s="151">
        <f>main!H25</f>
        <v>10</v>
      </c>
      <c r="AG24" s="125">
        <f t="shared" si="7"/>
        <v>0.265289610568124</v>
      </c>
      <c r="AH24" s="125">
        <f t="shared" si="8"/>
        <v>0.11385987606115514</v>
      </c>
      <c r="AI24" s="125">
        <f t="shared" si="9"/>
        <v>7.9119771822553121E-3</v>
      </c>
      <c r="AJ24" s="125">
        <f t="shared" si="10"/>
        <v>5.6482559684179395E-2</v>
      </c>
      <c r="AK24" s="125">
        <f t="shared" si="11"/>
        <v>5.7377316376975719E-2</v>
      </c>
      <c r="AL24" s="125">
        <f t="shared" si="12"/>
        <v>9.4442723591357785E-3</v>
      </c>
      <c r="AM24" s="432">
        <f>depths!$B$2</f>
        <v>995.00000000000011</v>
      </c>
      <c r="AN24" s="376"/>
      <c r="AO24" s="155">
        <f t="shared" si="13"/>
        <v>113.85987606115513</v>
      </c>
      <c r="AP24" s="431">
        <v>1</v>
      </c>
      <c r="AQ24" s="155">
        <f t="shared" si="14"/>
        <v>7.9119771822553124</v>
      </c>
      <c r="AR24" s="431">
        <v>1</v>
      </c>
      <c r="AS24" s="155">
        <f t="shared" si="15"/>
        <v>56.482559684179392</v>
      </c>
      <c r="AT24" s="431">
        <v>1</v>
      </c>
      <c r="AU24" s="155">
        <f t="shared" si="16"/>
        <v>57.37731637697572</v>
      </c>
      <c r="AV24" s="431">
        <v>1</v>
      </c>
      <c r="AW24" s="155">
        <f t="shared" si="17"/>
        <v>9.4442723591357787</v>
      </c>
      <c r="AX24" s="431">
        <v>1</v>
      </c>
      <c r="AY24" s="155">
        <f t="shared" si="18"/>
        <v>7.1388678686860185</v>
      </c>
      <c r="AZ24" s="155">
        <f t="shared" si="19"/>
        <v>7.2519567555957352</v>
      </c>
      <c r="BA24" s="155">
        <f>main!R25</f>
        <v>40.21</v>
      </c>
      <c r="BB24" s="431">
        <v>1</v>
      </c>
      <c r="BC24" s="155">
        <f>main!S25</f>
        <v>8.5399999999999991</v>
      </c>
      <c r="BD24" s="431">
        <v>1</v>
      </c>
    </row>
    <row r="25" spans="1:56">
      <c r="A25" s="376">
        <f>main!A26</f>
        <v>2020</v>
      </c>
      <c r="B25" s="376" t="str">
        <f>main!B26</f>
        <v>47_1000</v>
      </c>
      <c r="C25" s="376">
        <f>main!C26</f>
        <v>20</v>
      </c>
      <c r="D25" s="376" t="str">
        <f>main!$B$6</f>
        <v>McLane-PARFLUX-Mark78H-21 ; frame# 12419-01, controller# 12419-01 and Motor # 12419-01 Cup set AAx21</v>
      </c>
      <c r="E25" s="376">
        <v>1000</v>
      </c>
      <c r="F25" s="233">
        <v>1</v>
      </c>
      <c r="G25" s="151">
        <f>main!E26</f>
        <v>151.99999999999997</v>
      </c>
      <c r="H25" s="125">
        <f>main!I26</f>
        <v>30.399999999999995</v>
      </c>
      <c r="I25" s="155">
        <f>main!J26</f>
        <v>11.103599999999998</v>
      </c>
      <c r="J25" s="431">
        <v>1</v>
      </c>
      <c r="K25" s="155">
        <f>main!AF26</f>
        <v>62.394346906582868</v>
      </c>
      <c r="L25" s="155">
        <f>main!AG26</f>
        <v>7.4870548128482373</v>
      </c>
      <c r="M25" s="431">
        <v>1</v>
      </c>
      <c r="N25" s="155">
        <f>main!M26</f>
        <v>16.265813827514648</v>
      </c>
      <c r="O25" s="431">
        <v>1</v>
      </c>
      <c r="P25" s="155">
        <f>main!O26</f>
        <v>1.408505916595459</v>
      </c>
      <c r="Q25" s="431">
        <v>1</v>
      </c>
      <c r="R25" s="155">
        <f>main!AH26</f>
        <v>8.7787590146664112</v>
      </c>
      <c r="S25" s="431">
        <v>1</v>
      </c>
      <c r="T25" s="155">
        <f>main!AB26</f>
        <v>4.4693854411706067</v>
      </c>
      <c r="U25" s="431">
        <v>1</v>
      </c>
      <c r="V25" s="155">
        <f>main!AC26</f>
        <v>9.5608889697380484</v>
      </c>
      <c r="W25" s="155">
        <f t="shared" si="1"/>
        <v>6.9280187031193341</v>
      </c>
      <c r="X25" s="155">
        <f t="shared" si="2"/>
        <v>0.83133261819941673</v>
      </c>
      <c r="Y25" s="155">
        <f t="shared" si="3"/>
        <v>1.8060909041519164</v>
      </c>
      <c r="Z25" s="155">
        <f t="shared" si="4"/>
        <v>0.15639486295509336</v>
      </c>
      <c r="AA25" s="155">
        <f t="shared" si="5"/>
        <v>0.97475828595249947</v>
      </c>
      <c r="AB25" s="155">
        <f t="shared" si="6"/>
        <v>1.0616028676438338</v>
      </c>
      <c r="AC25" s="139">
        <f>main!T26</f>
        <v>44272</v>
      </c>
      <c r="AD25" s="139">
        <f>main!U26</f>
        <v>44282</v>
      </c>
      <c r="AE25" s="139">
        <f>main!V26</f>
        <v>44277</v>
      </c>
      <c r="AF25" s="151">
        <f>main!H26</f>
        <v>10</v>
      </c>
      <c r="AG25" s="125">
        <f t="shared" si="7"/>
        <v>0.4962626818458194</v>
      </c>
      <c r="AH25" s="125">
        <f t="shared" si="8"/>
        <v>0.15038225679866082</v>
      </c>
      <c r="AI25" s="125">
        <f t="shared" si="9"/>
        <v>1.1163088005359983E-2</v>
      </c>
      <c r="AJ25" s="125">
        <f t="shared" si="10"/>
        <v>8.1162221977726851E-2</v>
      </c>
      <c r="AK25" s="125">
        <f t="shared" si="11"/>
        <v>6.9220034820933946E-2</v>
      </c>
      <c r="AL25" s="125">
        <f t="shared" si="12"/>
        <v>1.7666880806187946E-2</v>
      </c>
      <c r="AM25" s="432">
        <f>depths!$B$2</f>
        <v>995.00000000000011</v>
      </c>
      <c r="AN25" s="376"/>
      <c r="AO25" s="155">
        <f t="shared" si="13"/>
        <v>150.38225679866082</v>
      </c>
      <c r="AP25" s="431">
        <v>1</v>
      </c>
      <c r="AQ25" s="155">
        <f t="shared" si="14"/>
        <v>11.163088005359983</v>
      </c>
      <c r="AR25" s="431">
        <v>1</v>
      </c>
      <c r="AS25" s="155">
        <f t="shared" si="15"/>
        <v>81.162221977726844</v>
      </c>
      <c r="AT25" s="431">
        <v>1</v>
      </c>
      <c r="AU25" s="155">
        <f t="shared" si="16"/>
        <v>69.220034820933947</v>
      </c>
      <c r="AV25" s="431">
        <v>1</v>
      </c>
      <c r="AW25" s="155">
        <f t="shared" si="17"/>
        <v>17.666880806187947</v>
      </c>
      <c r="AX25" s="431">
        <v>1</v>
      </c>
      <c r="AY25" s="155">
        <f t="shared" si="18"/>
        <v>7.2705887420001183</v>
      </c>
      <c r="AZ25" s="155">
        <f t="shared" si="19"/>
        <v>6.2007963018564203</v>
      </c>
      <c r="BA25" s="155">
        <f>main!R26</f>
        <v>40.159999999999997</v>
      </c>
      <c r="BB25" s="431">
        <v>1</v>
      </c>
      <c r="BC25" s="155">
        <f>main!S26</f>
        <v>8.5500000000000007</v>
      </c>
      <c r="BD25" s="431">
        <v>1</v>
      </c>
    </row>
    <row r="26" spans="1:56" s="433" customFormat="1">
      <c r="A26" s="433">
        <f>main!A27</f>
        <v>2020</v>
      </c>
      <c r="B26" s="433" t="str">
        <f>main!B27</f>
        <v>47_1000</v>
      </c>
      <c r="C26" s="433">
        <f>main!C27</f>
        <v>21</v>
      </c>
      <c r="D26" s="433" t="str">
        <f>main!$B$6</f>
        <v>McLane-PARFLUX-Mark78H-21 ; frame# 12419-01, controller# 12419-01 and Motor # 12419-01 Cup set AAx21</v>
      </c>
      <c r="E26" s="433">
        <v>1000</v>
      </c>
      <c r="F26" s="233">
        <v>1</v>
      </c>
      <c r="G26" s="434">
        <f>main!E27</f>
        <v>169.45714285714286</v>
      </c>
      <c r="H26" s="435">
        <f>main!I27</f>
        <v>33.89142857142857</v>
      </c>
      <c r="I26" s="436">
        <f>main!J27</f>
        <v>12.378844285714287</v>
      </c>
      <c r="J26" s="437">
        <v>1</v>
      </c>
      <c r="K26" s="436">
        <f>main!AF27</f>
        <v>59.123709937460902</v>
      </c>
      <c r="L26" s="436">
        <f>main!AG27</f>
        <v>7.0945923627258454</v>
      </c>
      <c r="M26" s="437">
        <v>1</v>
      </c>
      <c r="N26" s="436">
        <f>main!M27</f>
        <v>18.702775955200195</v>
      </c>
      <c r="O26" s="437">
        <v>1</v>
      </c>
      <c r="P26" s="436">
        <f>main!O27</f>
        <v>1.9104586839675903</v>
      </c>
      <c r="Q26" s="437">
        <v>1</v>
      </c>
      <c r="R26" s="436">
        <f>main!AH27</f>
        <v>11.608183592474351</v>
      </c>
      <c r="S26" s="437">
        <v>1</v>
      </c>
      <c r="T26" s="436">
        <f>main!AB27</f>
        <v>3.7982866455250184</v>
      </c>
      <c r="U26" s="437">
        <v>1</v>
      </c>
      <c r="V26" s="436">
        <f>main!AC27</f>
        <v>8.1252774841437638</v>
      </c>
      <c r="W26" s="436">
        <f t="shared" si="1"/>
        <v>7.3188319890956688</v>
      </c>
      <c r="X26" s="436">
        <f t="shared" si="2"/>
        <v>0.87822854128801042</v>
      </c>
      <c r="Y26" s="436">
        <f t="shared" si="3"/>
        <v>2.3151875126002452</v>
      </c>
      <c r="Z26" s="436">
        <f t="shared" si="4"/>
        <v>0.23649270563125444</v>
      </c>
      <c r="AA26" s="436">
        <f t="shared" si="5"/>
        <v>1.4369589713122346</v>
      </c>
      <c r="AB26" s="436">
        <f t="shared" si="6"/>
        <v>1.0058154475443599</v>
      </c>
      <c r="AC26" s="438">
        <f>main!T27</f>
        <v>44282</v>
      </c>
      <c r="AD26" s="438">
        <f>main!U27</f>
        <v>44292</v>
      </c>
      <c r="AE26" s="438">
        <f>main!V27</f>
        <v>44287</v>
      </c>
      <c r="AF26" s="434">
        <f>main!H27</f>
        <v>10</v>
      </c>
      <c r="AG26" s="435">
        <f t="shared" si="7"/>
        <v>0.47018398937462258</v>
      </c>
      <c r="AH26" s="435">
        <f t="shared" si="8"/>
        <v>0.19277164967529103</v>
      </c>
      <c r="AI26" s="435">
        <f t="shared" si="9"/>
        <v>1.6880278774536364E-2</v>
      </c>
      <c r="AJ26" s="435">
        <f t="shared" si="10"/>
        <v>0.11964687521334176</v>
      </c>
      <c r="AK26" s="435">
        <f t="shared" si="11"/>
        <v>7.3124774461949246E-2</v>
      </c>
      <c r="AL26" s="435">
        <f t="shared" si="12"/>
        <v>1.6738483067804292E-2</v>
      </c>
      <c r="AM26" s="432">
        <f>depths!$B$2</f>
        <v>995.00000000000011</v>
      </c>
      <c r="AO26" s="436">
        <f t="shared" si="13"/>
        <v>192.77164967529103</v>
      </c>
      <c r="AP26" s="437">
        <v>1</v>
      </c>
      <c r="AQ26" s="436">
        <f t="shared" si="14"/>
        <v>16.880278774536364</v>
      </c>
      <c r="AR26" s="437">
        <v>1</v>
      </c>
      <c r="AS26" s="436">
        <f t="shared" si="15"/>
        <v>119.64687521334176</v>
      </c>
      <c r="AT26" s="437">
        <v>1</v>
      </c>
      <c r="AU26" s="436">
        <f t="shared" si="16"/>
        <v>73.124774461949244</v>
      </c>
      <c r="AV26" s="437">
        <v>1</v>
      </c>
      <c r="AW26" s="436">
        <f t="shared" si="17"/>
        <v>16.738483067804292</v>
      </c>
      <c r="AX26" s="437">
        <v>1</v>
      </c>
      <c r="AY26" s="436">
        <f t="shared" si="18"/>
        <v>7.0879679661349666</v>
      </c>
      <c r="AZ26" s="436">
        <f t="shared" si="19"/>
        <v>4.3319648590316424</v>
      </c>
      <c r="BA26" s="155">
        <f>main!R27</f>
        <v>40.25</v>
      </c>
      <c r="BB26" s="431">
        <v>1</v>
      </c>
      <c r="BC26" s="155">
        <f>main!S27</f>
        <v>8.59</v>
      </c>
      <c r="BD26" s="431">
        <v>1</v>
      </c>
    </row>
    <row r="27" spans="1:56">
      <c r="A27" s="376">
        <f>main!A31</f>
        <v>2020</v>
      </c>
      <c r="B27" s="376" t="str">
        <f>main!B31</f>
        <v>47_2000</v>
      </c>
      <c r="C27" s="376">
        <v>1</v>
      </c>
      <c r="D27" s="376" t="str">
        <f>main!$B$30</f>
        <v>McLane-PARFLUX-Mark78H-21 ; frame# 12419-02, controller# 12419-02 and motor# 12419-02 Cup set ABx21</v>
      </c>
      <c r="E27" s="376">
        <v>2000</v>
      </c>
      <c r="F27" s="233">
        <v>1</v>
      </c>
      <c r="G27" s="151">
        <f>main!E31</f>
        <v>181.97142857142859</v>
      </c>
      <c r="H27" s="125">
        <f>main!I31</f>
        <v>36.394285714285715</v>
      </c>
      <c r="I27" s="155">
        <f>main!J31</f>
        <v>13.293012857142859</v>
      </c>
      <c r="J27" s="431">
        <v>1</v>
      </c>
      <c r="K27" s="155">
        <f>main!AF31</f>
        <v>65.958253173509334</v>
      </c>
      <c r="L27" s="155">
        <f>main!AG31</f>
        <v>7.9147083246043897</v>
      </c>
      <c r="M27" s="431">
        <v>1</v>
      </c>
      <c r="N27" s="155">
        <f>main!M31</f>
        <v>13.865879058837891</v>
      </c>
      <c r="O27" s="431">
        <v>1</v>
      </c>
      <c r="P27" s="155">
        <f>main!O31</f>
        <v>0.94305235147476196</v>
      </c>
      <c r="Q27" s="431">
        <v>1</v>
      </c>
      <c r="R27" s="155">
        <f>main!AH31</f>
        <v>5.951170734233501</v>
      </c>
      <c r="S27" s="431">
        <v>1</v>
      </c>
      <c r="T27" s="155">
        <f>main!AB31</f>
        <v>5.6127631104161644</v>
      </c>
      <c r="U27" s="431">
        <v>1</v>
      </c>
      <c r="V27" s="155">
        <f>main!AC31</f>
        <v>12.006797269665622</v>
      </c>
      <c r="W27" s="155">
        <f t="shared" si="1"/>
        <v>8.767839074701433</v>
      </c>
      <c r="X27" s="155">
        <f t="shared" si="2"/>
        <v>1.0521031951950177</v>
      </c>
      <c r="Y27" s="155">
        <f t="shared" si="3"/>
        <v>1.8431930860472001</v>
      </c>
      <c r="Z27" s="155">
        <f t="shared" si="4"/>
        <v>0.12536007033112817</v>
      </c>
      <c r="AA27" s="155">
        <f t="shared" si="5"/>
        <v>0.7910898908521824</v>
      </c>
      <c r="AB27" s="155">
        <f t="shared" si="6"/>
        <v>1.5960651047877288</v>
      </c>
      <c r="AC27" s="139">
        <f>main!T31</f>
        <v>44082</v>
      </c>
      <c r="AD27" s="139">
        <f>main!U31</f>
        <v>44092</v>
      </c>
      <c r="AE27" s="139">
        <f>main!V31</f>
        <v>44087</v>
      </c>
      <c r="AF27" s="151">
        <f>main!H31</f>
        <v>10</v>
      </c>
      <c r="AG27" s="125">
        <f t="shared" si="7"/>
        <v>0.74610532190859213</v>
      </c>
      <c r="AH27" s="125">
        <f t="shared" si="8"/>
        <v>0.1534715308948543</v>
      </c>
      <c r="AI27" s="125">
        <f t="shared" si="9"/>
        <v>8.9478993812368429E-3</v>
      </c>
      <c r="AJ27" s="125">
        <f t="shared" si="10"/>
        <v>6.5869266515585542E-2</v>
      </c>
      <c r="AK27" s="125">
        <f t="shared" si="11"/>
        <v>8.7602264379268754E-2</v>
      </c>
      <c r="AL27" s="125">
        <f t="shared" si="12"/>
        <v>2.656124321497302E-2</v>
      </c>
      <c r="AM27" s="432">
        <f>depths!$B$3</f>
        <v>1992.1</v>
      </c>
      <c r="AN27" s="376"/>
      <c r="AO27" s="155">
        <f t="shared" si="13"/>
        <v>153.47153089485428</v>
      </c>
      <c r="AP27" s="431">
        <v>1</v>
      </c>
      <c r="AQ27" s="155">
        <f t="shared" si="14"/>
        <v>8.9478993812368426</v>
      </c>
      <c r="AR27" s="431">
        <v>1</v>
      </c>
      <c r="AS27" s="155">
        <f t="shared" si="15"/>
        <v>65.869266515585537</v>
      </c>
      <c r="AT27" s="431">
        <v>1</v>
      </c>
      <c r="AU27" s="155">
        <f t="shared" si="16"/>
        <v>87.60226437926876</v>
      </c>
      <c r="AV27" s="431">
        <v>1</v>
      </c>
      <c r="AW27" s="155">
        <f t="shared" si="17"/>
        <v>26.561243214973022</v>
      </c>
      <c r="AX27" s="431">
        <v>1</v>
      </c>
      <c r="AY27" s="155">
        <f t="shared" si="18"/>
        <v>7.3614223527936691</v>
      </c>
      <c r="AZ27" s="155">
        <f t="shared" si="19"/>
        <v>9.7902603333878506</v>
      </c>
      <c r="BA27" s="155">
        <f>main!R31</f>
        <v>40.29</v>
      </c>
      <c r="BB27" s="431">
        <v>1</v>
      </c>
      <c r="BC27" s="155">
        <f>main!S31</f>
        <v>8.5500000000000007</v>
      </c>
      <c r="BD27" s="431">
        <v>1</v>
      </c>
    </row>
    <row r="28" spans="1:56">
      <c r="A28" s="376">
        <f>main!A32</f>
        <v>2020</v>
      </c>
      <c r="B28" s="376" t="str">
        <f>main!B32</f>
        <v>47_2000</v>
      </c>
      <c r="C28" s="376">
        <f>main!C32</f>
        <v>2</v>
      </c>
      <c r="D28" s="376" t="str">
        <f>main!$B$30</f>
        <v>McLane-PARFLUX-Mark78H-21 ; frame# 12419-02, controller# 12419-02 and motor# 12419-02 Cup set ABx21</v>
      </c>
      <c r="E28" s="376">
        <v>2000</v>
      </c>
      <c r="F28" s="233">
        <v>1</v>
      </c>
      <c r="G28" s="151">
        <f>main!E32</f>
        <v>287.77142857142854</v>
      </c>
      <c r="H28" s="125">
        <f>main!I32</f>
        <v>57.554285714285712</v>
      </c>
      <c r="I28" s="155">
        <f>main!J32</f>
        <v>21.021702857142856</v>
      </c>
      <c r="J28" s="431">
        <v>1</v>
      </c>
      <c r="K28" s="155">
        <f>main!AF32</f>
        <v>62.901702023041452</v>
      </c>
      <c r="L28" s="155">
        <f>main!AG32</f>
        <v>7.5479352572287466</v>
      </c>
      <c r="M28" s="431">
        <v>1</v>
      </c>
      <c r="N28" s="155">
        <f>main!M32</f>
        <v>14.830008983612061</v>
      </c>
      <c r="O28" s="431">
        <v>1</v>
      </c>
      <c r="P28" s="155">
        <f>main!O32</f>
        <v>1.0271389484405518</v>
      </c>
      <c r="Q28" s="431">
        <v>1</v>
      </c>
      <c r="R28" s="155">
        <f>main!AH32</f>
        <v>7.282073726383314</v>
      </c>
      <c r="S28" s="431">
        <v>1</v>
      </c>
      <c r="T28" s="155">
        <f>main!AB32</f>
        <v>5.5458758253437059</v>
      </c>
      <c r="U28" s="431">
        <v>1</v>
      </c>
      <c r="V28" s="155">
        <f>main!AC32</f>
        <v>11.863712294229382</v>
      </c>
      <c r="W28" s="155">
        <f t="shared" si="1"/>
        <v>13.22300889136919</v>
      </c>
      <c r="X28" s="155">
        <f t="shared" si="2"/>
        <v>1.5867045216241484</v>
      </c>
      <c r="Y28" s="155">
        <f t="shared" si="3"/>
        <v>3.117520422222519</v>
      </c>
      <c r="Z28" s="155">
        <f t="shared" si="4"/>
        <v>0.21592209767115456</v>
      </c>
      <c r="AA28" s="155">
        <f t="shared" si="5"/>
        <v>1.5308159005983704</v>
      </c>
      <c r="AB28" s="155">
        <f t="shared" si="6"/>
        <v>2.4939543463192262</v>
      </c>
      <c r="AC28" s="139">
        <f>main!T32</f>
        <v>44092</v>
      </c>
      <c r="AD28" s="139">
        <f>main!U32</f>
        <v>44102</v>
      </c>
      <c r="AE28" s="139">
        <f>main!V32</f>
        <v>44097</v>
      </c>
      <c r="AF28" s="151">
        <f>main!H32</f>
        <v>10</v>
      </c>
      <c r="AG28" s="125">
        <f t="shared" si="7"/>
        <v>1.1658375368298728</v>
      </c>
      <c r="AH28" s="125">
        <f t="shared" si="8"/>
        <v>0.25957705430662109</v>
      </c>
      <c r="AI28" s="125">
        <f t="shared" si="9"/>
        <v>1.5411998406220883E-2</v>
      </c>
      <c r="AJ28" s="125">
        <f t="shared" si="10"/>
        <v>0.12746177357188762</v>
      </c>
      <c r="AK28" s="125">
        <f t="shared" si="11"/>
        <v>0.13211528073473341</v>
      </c>
      <c r="AL28" s="125">
        <f t="shared" si="12"/>
        <v>4.1503650296542287E-2</v>
      </c>
      <c r="AM28" s="432">
        <f>depths!$B$3</f>
        <v>1992.1</v>
      </c>
      <c r="AN28" s="376"/>
      <c r="AO28" s="155">
        <f t="shared" si="13"/>
        <v>259.57705430662111</v>
      </c>
      <c r="AP28" s="431">
        <v>1</v>
      </c>
      <c r="AQ28" s="155">
        <f t="shared" si="14"/>
        <v>15.411998406220883</v>
      </c>
      <c r="AR28" s="431">
        <v>1</v>
      </c>
      <c r="AS28" s="155">
        <f t="shared" si="15"/>
        <v>127.46177357188762</v>
      </c>
      <c r="AT28" s="431">
        <v>1</v>
      </c>
      <c r="AU28" s="155">
        <f t="shared" si="16"/>
        <v>132.1152807347334</v>
      </c>
      <c r="AV28" s="431">
        <v>1</v>
      </c>
      <c r="AW28" s="155">
        <f t="shared" si="17"/>
        <v>41.50365029654229</v>
      </c>
      <c r="AX28" s="431">
        <v>1</v>
      </c>
      <c r="AY28" s="155">
        <f t="shared" si="18"/>
        <v>8.2702950138146321</v>
      </c>
      <c r="AZ28" s="155">
        <f t="shared" si="19"/>
        <v>8.5722355565133288</v>
      </c>
      <c r="BA28" s="155">
        <f>main!R32</f>
        <v>40.17</v>
      </c>
      <c r="BB28" s="431">
        <v>1</v>
      </c>
      <c r="BC28" s="155">
        <f>main!S32</f>
        <v>8.49</v>
      </c>
      <c r="BD28" s="431">
        <v>1</v>
      </c>
    </row>
    <row r="29" spans="1:56">
      <c r="A29" s="376">
        <f>main!A33</f>
        <v>2020</v>
      </c>
      <c r="B29" s="376" t="str">
        <f>main!B33</f>
        <v>47_2000</v>
      </c>
      <c r="C29" s="376">
        <f>main!C33</f>
        <v>3</v>
      </c>
      <c r="D29" s="376" t="str">
        <f>main!$B$30</f>
        <v>McLane-PARFLUX-Mark78H-21 ; frame# 12419-02, controller# 12419-02 and motor# 12419-02 Cup set ABx21</v>
      </c>
      <c r="E29" s="376">
        <v>2000</v>
      </c>
      <c r="F29" s="233">
        <v>1</v>
      </c>
      <c r="G29" s="151">
        <f>main!E33</f>
        <v>263.81428571428575</v>
      </c>
      <c r="H29" s="125">
        <f>main!I33</f>
        <v>52.76285714285715</v>
      </c>
      <c r="I29" s="155">
        <f>main!J33</f>
        <v>19.271633571428573</v>
      </c>
      <c r="J29" s="431">
        <v>1</v>
      </c>
      <c r="K29" s="155">
        <f>main!AF33</f>
        <v>64.882237259486274</v>
      </c>
      <c r="L29" s="155">
        <f>main!AG33</f>
        <v>7.7855910162711615</v>
      </c>
      <c r="M29" s="431">
        <v>1</v>
      </c>
      <c r="N29" s="155">
        <f>main!M33</f>
        <v>14.743440628051758</v>
      </c>
      <c r="O29" s="431">
        <v>1</v>
      </c>
      <c r="P29" s="155">
        <f>main!O33</f>
        <v>1.1036072969436646</v>
      </c>
      <c r="Q29" s="431">
        <v>1</v>
      </c>
      <c r="R29" s="155">
        <f>main!AH33</f>
        <v>6.9578496117805964</v>
      </c>
      <c r="S29" s="431">
        <v>1</v>
      </c>
      <c r="T29" s="155">
        <f>main!AB33</f>
        <v>4.9673688050988805</v>
      </c>
      <c r="U29" s="431">
        <v>1</v>
      </c>
      <c r="V29" s="155">
        <f>main!AC33</f>
        <v>10.626172712651897</v>
      </c>
      <c r="W29" s="155">
        <f t="shared" si="1"/>
        <v>12.503867017593095</v>
      </c>
      <c r="X29" s="155">
        <f t="shared" si="2"/>
        <v>1.5004105720258401</v>
      </c>
      <c r="Y29" s="155">
        <f t="shared" si="3"/>
        <v>2.841301853659262</v>
      </c>
      <c r="Z29" s="155">
        <f t="shared" si="4"/>
        <v>0.21268315433453067</v>
      </c>
      <c r="AA29" s="155">
        <f t="shared" si="5"/>
        <v>1.340891281633422</v>
      </c>
      <c r="AB29" s="155">
        <f t="shared" si="6"/>
        <v>2.0478370678494056</v>
      </c>
      <c r="AC29" s="139">
        <f>main!T33</f>
        <v>44102</v>
      </c>
      <c r="AD29" s="139">
        <f>main!U33</f>
        <v>44112</v>
      </c>
      <c r="AE29" s="139">
        <f>main!V33</f>
        <v>44107</v>
      </c>
      <c r="AF29" s="151">
        <f>main!H33</f>
        <v>10</v>
      </c>
      <c r="AG29" s="125">
        <f t="shared" si="7"/>
        <v>0.95729311426010621</v>
      </c>
      <c r="AH29" s="125">
        <f t="shared" si="8"/>
        <v>0.23657800613316088</v>
      </c>
      <c r="AI29" s="125">
        <f t="shared" si="9"/>
        <v>1.5180810445005757E-2</v>
      </c>
      <c r="AJ29" s="125">
        <f t="shared" si="10"/>
        <v>0.11164790021926911</v>
      </c>
      <c r="AK29" s="125">
        <f t="shared" si="11"/>
        <v>0.12493010591389177</v>
      </c>
      <c r="AL29" s="125">
        <f t="shared" si="12"/>
        <v>3.4079498549665584E-2</v>
      </c>
      <c r="AM29" s="432">
        <f>depths!$B$3</f>
        <v>1992.1</v>
      </c>
      <c r="AN29" s="376"/>
      <c r="AO29" s="155">
        <f t="shared" si="13"/>
        <v>236.57800613316087</v>
      </c>
      <c r="AP29" s="431">
        <v>1</v>
      </c>
      <c r="AQ29" s="155">
        <f t="shared" si="14"/>
        <v>15.180810445005758</v>
      </c>
      <c r="AR29" s="431">
        <v>1</v>
      </c>
      <c r="AS29" s="155">
        <f t="shared" si="15"/>
        <v>111.6479002192691</v>
      </c>
      <c r="AT29" s="431">
        <v>1</v>
      </c>
      <c r="AU29" s="155">
        <f t="shared" si="16"/>
        <v>124.93010591389177</v>
      </c>
      <c r="AV29" s="431">
        <v>1</v>
      </c>
      <c r="AW29" s="155">
        <f t="shared" si="17"/>
        <v>34.079498549665587</v>
      </c>
      <c r="AX29" s="431">
        <v>1</v>
      </c>
      <c r="AY29" s="155">
        <f t="shared" si="18"/>
        <v>7.3545414866832397</v>
      </c>
      <c r="AZ29" s="155">
        <f t="shared" si="19"/>
        <v>8.2294753871320321</v>
      </c>
      <c r="BA29" s="155">
        <f>main!R33</f>
        <v>40.484999999999999</v>
      </c>
      <c r="BB29" s="431">
        <v>1</v>
      </c>
      <c r="BC29" s="155">
        <f>main!S33</f>
        <v>8.57</v>
      </c>
      <c r="BD29" s="431">
        <v>1</v>
      </c>
    </row>
    <row r="30" spans="1:56">
      <c r="A30" s="376">
        <f>main!A34</f>
        <v>2020</v>
      </c>
      <c r="B30" s="376" t="str">
        <f>main!B34</f>
        <v>47_2000</v>
      </c>
      <c r="C30" s="376">
        <f>main!C34</f>
        <v>4</v>
      </c>
      <c r="D30" s="376" t="str">
        <f>main!$B$30</f>
        <v>McLane-PARFLUX-Mark78H-21 ; frame# 12419-02, controller# 12419-02 and motor# 12419-02 Cup set ABx21</v>
      </c>
      <c r="E30" s="376">
        <v>2000</v>
      </c>
      <c r="F30" s="233">
        <v>1</v>
      </c>
      <c r="G30" s="151">
        <f>main!E34</f>
        <v>373.52857142857147</v>
      </c>
      <c r="H30" s="125">
        <f>main!I34</f>
        <v>74.705714285714294</v>
      </c>
      <c r="I30" s="155">
        <f>main!J34</f>
        <v>27.286262142857147</v>
      </c>
      <c r="J30" s="431">
        <v>1</v>
      </c>
      <c r="K30" s="155">
        <f>main!AF34</f>
        <v>67.813767177616327</v>
      </c>
      <c r="L30" s="155">
        <f>main!AG34</f>
        <v>8.13736207039255</v>
      </c>
      <c r="M30" s="431">
        <v>1</v>
      </c>
      <c r="N30" s="155">
        <f>main!M34</f>
        <v>14.3856201171875</v>
      </c>
      <c r="O30" s="431">
        <v>1</v>
      </c>
      <c r="P30" s="155">
        <f>main!O34</f>
        <v>0.97466748952865601</v>
      </c>
      <c r="Q30" s="431">
        <v>1</v>
      </c>
      <c r="R30" s="155">
        <f>main!AH34</f>
        <v>6.24825804679495</v>
      </c>
      <c r="S30" s="431">
        <v>1</v>
      </c>
      <c r="T30" s="155">
        <f>main!AB34</f>
        <v>4.6966578671178896</v>
      </c>
      <c r="U30" s="431">
        <v>1</v>
      </c>
      <c r="V30" s="155">
        <f>main!AC34</f>
        <v>10.047069107693627</v>
      </c>
      <c r="W30" s="155">
        <f t="shared" si="1"/>
        <v>18.503842281031208</v>
      </c>
      <c r="X30" s="155">
        <f t="shared" si="2"/>
        <v>2.2203819460407388</v>
      </c>
      <c r="Y30" s="155">
        <f t="shared" si="3"/>
        <v>3.9252980160513751</v>
      </c>
      <c r="Z30" s="155">
        <f t="shared" si="4"/>
        <v>0.26595032621399384</v>
      </c>
      <c r="AA30" s="155">
        <f t="shared" si="5"/>
        <v>1.7049160700106358</v>
      </c>
      <c r="AB30" s="155">
        <f t="shared" si="6"/>
        <v>2.7414696143993011</v>
      </c>
      <c r="AC30" s="139">
        <f>main!T34</f>
        <v>44112</v>
      </c>
      <c r="AD30" s="139">
        <f>main!U34</f>
        <v>44122</v>
      </c>
      <c r="AE30" s="139">
        <f>main!V34</f>
        <v>44117</v>
      </c>
      <c r="AF30" s="151">
        <f>main!H34</f>
        <v>10</v>
      </c>
      <c r="AG30" s="125">
        <f t="shared" si="7"/>
        <v>1.2815423775749106</v>
      </c>
      <c r="AH30" s="125">
        <f t="shared" si="8"/>
        <v>0.3268358048335866</v>
      </c>
      <c r="AI30" s="125">
        <f t="shared" si="9"/>
        <v>1.8982892663382857E-2</v>
      </c>
      <c r="AJ30" s="125">
        <f t="shared" si="10"/>
        <v>0.14195804080021948</v>
      </c>
      <c r="AK30" s="125">
        <f t="shared" si="11"/>
        <v>0.18487776403336709</v>
      </c>
      <c r="AL30" s="125">
        <f t="shared" si="12"/>
        <v>4.5622726150762218E-2</v>
      </c>
      <c r="AM30" s="432">
        <f>depths!$B$3</f>
        <v>1992.1</v>
      </c>
      <c r="AN30" s="376"/>
      <c r="AO30" s="155">
        <f t="shared" si="13"/>
        <v>326.83580483358662</v>
      </c>
      <c r="AP30" s="431">
        <v>1</v>
      </c>
      <c r="AQ30" s="155">
        <f t="shared" si="14"/>
        <v>18.982892663382856</v>
      </c>
      <c r="AR30" s="431">
        <v>1</v>
      </c>
      <c r="AS30" s="155">
        <f t="shared" si="15"/>
        <v>141.95804080021949</v>
      </c>
      <c r="AT30" s="431">
        <v>1</v>
      </c>
      <c r="AU30" s="155">
        <f t="shared" si="16"/>
        <v>184.8777640333671</v>
      </c>
      <c r="AV30" s="431">
        <v>1</v>
      </c>
      <c r="AW30" s="155">
        <f t="shared" si="17"/>
        <v>45.622726150762219</v>
      </c>
      <c r="AX30" s="431">
        <v>1</v>
      </c>
      <c r="AY30" s="155">
        <f t="shared" si="18"/>
        <v>7.478209107405962</v>
      </c>
      <c r="AZ30" s="155">
        <f t="shared" si="19"/>
        <v>9.7391776538877011</v>
      </c>
      <c r="BA30" s="155">
        <f>main!R34</f>
        <v>40.58</v>
      </c>
      <c r="BB30" s="431">
        <v>1</v>
      </c>
      <c r="BC30" s="155">
        <f>main!S34</f>
        <v>8.5399999999999991</v>
      </c>
      <c r="BD30" s="431">
        <v>1</v>
      </c>
    </row>
    <row r="31" spans="1:56">
      <c r="A31" s="376">
        <f>main!A35</f>
        <v>2020</v>
      </c>
      <c r="B31" s="376" t="str">
        <f>main!B35</f>
        <v>47_2000</v>
      </c>
      <c r="C31" s="376">
        <f>main!C35</f>
        <v>5</v>
      </c>
      <c r="D31" s="376" t="str">
        <f>main!$B$30</f>
        <v>McLane-PARFLUX-Mark78H-21 ; frame# 12419-02, controller# 12419-02 and motor# 12419-02 Cup set ABx21</v>
      </c>
      <c r="E31" s="376">
        <v>2000</v>
      </c>
      <c r="F31" s="233">
        <v>1</v>
      </c>
      <c r="G31" s="151">
        <f>main!E35</f>
        <v>455.4</v>
      </c>
      <c r="H31" s="125">
        <f>main!I35</f>
        <v>91.08</v>
      </c>
      <c r="I31" s="155">
        <f>main!J35</f>
        <v>33.266970000000001</v>
      </c>
      <c r="J31" s="431">
        <v>1</v>
      </c>
      <c r="K31" s="155">
        <f>main!AF35</f>
        <v>68.788851256892656</v>
      </c>
      <c r="L31" s="155">
        <f>main!AG35</f>
        <v>8.2543679901693494</v>
      </c>
      <c r="M31" s="431">
        <v>1</v>
      </c>
      <c r="N31" s="155">
        <f>main!M35</f>
        <v>13.999913215637207</v>
      </c>
      <c r="O31" s="431">
        <v>1</v>
      </c>
      <c r="P31" s="155">
        <f>main!O35</f>
        <v>0.81766867637634277</v>
      </c>
      <c r="Q31" s="431">
        <v>1</v>
      </c>
      <c r="R31" s="155">
        <f>main!AH35</f>
        <v>5.7455452254678576</v>
      </c>
      <c r="S31" s="431">
        <v>1</v>
      </c>
      <c r="T31" s="155">
        <f>main!AB35</f>
        <v>3.9837007392541857</v>
      </c>
      <c r="U31" s="431">
        <v>1</v>
      </c>
      <c r="V31" s="155">
        <f>main!AC35</f>
        <v>8.5219144685576378</v>
      </c>
      <c r="W31" s="155">
        <f t="shared" si="1"/>
        <v>22.883966510975103</v>
      </c>
      <c r="X31" s="155">
        <f t="shared" si="2"/>
        <v>2.7459781229792406</v>
      </c>
      <c r="Y31" s="155">
        <f t="shared" si="3"/>
        <v>4.6573469294720651</v>
      </c>
      <c r="Z31" s="155">
        <f t="shared" si="4"/>
        <v>0.27201359326951507</v>
      </c>
      <c r="AA31" s="155">
        <f t="shared" si="5"/>
        <v>1.9113688064928245</v>
      </c>
      <c r="AB31" s="155">
        <f t="shared" si="6"/>
        <v>2.8349827296807288</v>
      </c>
      <c r="AC31" s="139">
        <f>main!T35</f>
        <v>44122</v>
      </c>
      <c r="AD31" s="139">
        <f>main!U35</f>
        <v>44132</v>
      </c>
      <c r="AE31" s="139">
        <f>main!V35</f>
        <v>44127</v>
      </c>
      <c r="AF31" s="151">
        <f>main!H35</f>
        <v>10</v>
      </c>
      <c r="AG31" s="125">
        <f t="shared" si="7"/>
        <v>1.3252565298174681</v>
      </c>
      <c r="AH31" s="125">
        <f t="shared" si="8"/>
        <v>0.38778908655054667</v>
      </c>
      <c r="AI31" s="125">
        <f t="shared" si="9"/>
        <v>1.9415674037795507E-2</v>
      </c>
      <c r="AJ31" s="125">
        <f t="shared" si="10"/>
        <v>0.15914811044902785</v>
      </c>
      <c r="AK31" s="125">
        <f t="shared" si="11"/>
        <v>0.22864097610151879</v>
      </c>
      <c r="AL31" s="125">
        <f t="shared" si="12"/>
        <v>4.7178943745726884E-2</v>
      </c>
      <c r="AM31" s="432">
        <f>depths!$B$3</f>
        <v>1992.1</v>
      </c>
      <c r="AN31" s="376"/>
      <c r="AO31" s="155">
        <f t="shared" si="13"/>
        <v>387.78908655054664</v>
      </c>
      <c r="AP31" s="431">
        <v>1</v>
      </c>
      <c r="AQ31" s="155">
        <f t="shared" si="14"/>
        <v>19.415674037795508</v>
      </c>
      <c r="AR31" s="431">
        <v>1</v>
      </c>
      <c r="AS31" s="155">
        <f t="shared" si="15"/>
        <v>159.14811044902785</v>
      </c>
      <c r="AT31" s="431">
        <v>1</v>
      </c>
      <c r="AU31" s="155">
        <f t="shared" si="16"/>
        <v>228.64097610151879</v>
      </c>
      <c r="AV31" s="431">
        <v>1</v>
      </c>
      <c r="AW31" s="155">
        <f t="shared" si="17"/>
        <v>47.178943745726883</v>
      </c>
      <c r="AX31" s="431">
        <v>1</v>
      </c>
      <c r="AY31" s="155">
        <f t="shared" si="18"/>
        <v>8.1968882532340768</v>
      </c>
      <c r="AZ31" s="155">
        <f t="shared" si="19"/>
        <v>11.776102939122021</v>
      </c>
      <c r="BA31" s="155">
        <f>main!R35</f>
        <v>40.1</v>
      </c>
      <c r="BB31" s="431">
        <v>1</v>
      </c>
      <c r="BC31" s="155">
        <f>main!S35</f>
        <v>8.59</v>
      </c>
      <c r="BD31" s="431">
        <v>1</v>
      </c>
    </row>
    <row r="32" spans="1:56">
      <c r="A32" s="376">
        <f>main!A36</f>
        <v>2020</v>
      </c>
      <c r="B32" s="376" t="str">
        <f>main!B36</f>
        <v>47_2000</v>
      </c>
      <c r="C32" s="376">
        <f>main!C36</f>
        <v>6</v>
      </c>
      <c r="D32" s="376" t="str">
        <f>main!$B$30</f>
        <v>McLane-PARFLUX-Mark78H-21 ; frame# 12419-02, controller# 12419-02 and motor# 12419-02 Cup set ABx21</v>
      </c>
      <c r="E32" s="376">
        <v>2000</v>
      </c>
      <c r="F32" s="233">
        <v>1</v>
      </c>
      <c r="G32" s="151">
        <f>main!E36</f>
        <v>372.59999999999997</v>
      </c>
      <c r="H32" s="125">
        <f>main!I36</f>
        <v>74.52</v>
      </c>
      <c r="I32" s="155">
        <f>main!J36</f>
        <v>27.218430000000001</v>
      </c>
      <c r="J32" s="431">
        <v>1</v>
      </c>
      <c r="K32" s="155">
        <f>main!AF36</f>
        <v>71.438535910152382</v>
      </c>
      <c r="L32" s="155">
        <f>main!AG36</f>
        <v>8.5723188177566705</v>
      </c>
      <c r="M32" s="431">
        <v>1</v>
      </c>
      <c r="N32" s="155">
        <f>main!M36</f>
        <v>13.45853328704834</v>
      </c>
      <c r="O32" s="431">
        <v>1</v>
      </c>
      <c r="P32" s="155">
        <f>main!O36</f>
        <v>0.70571339130401611</v>
      </c>
      <c r="Q32" s="431">
        <v>1</v>
      </c>
      <c r="R32" s="155">
        <f>main!AH36</f>
        <v>4.8862144692916694</v>
      </c>
      <c r="S32" s="431">
        <v>1</v>
      </c>
      <c r="T32" s="155">
        <f>main!AB36</f>
        <v>3.8628710930769494</v>
      </c>
      <c r="U32" s="431">
        <v>1</v>
      </c>
      <c r="V32" s="155">
        <f>main!AC36</f>
        <v>8.2634362400496215</v>
      </c>
      <c r="W32" s="155">
        <f t="shared" si="1"/>
        <v>19.444447889729688</v>
      </c>
      <c r="X32" s="155">
        <f t="shared" si="2"/>
        <v>2.3332505967879271</v>
      </c>
      <c r="Y32" s="155">
        <f t="shared" si="3"/>
        <v>3.6632014617619522</v>
      </c>
      <c r="Z32" s="155">
        <f t="shared" si="4"/>
        <v>0.19208410541270973</v>
      </c>
      <c r="AA32" s="155">
        <f t="shared" si="5"/>
        <v>1.3299508649740246</v>
      </c>
      <c r="AB32" s="155">
        <f t="shared" si="6"/>
        <v>2.2491776085925381</v>
      </c>
      <c r="AC32" s="139">
        <f>main!T36</f>
        <v>44132</v>
      </c>
      <c r="AD32" s="139">
        <f>main!U36</f>
        <v>44142</v>
      </c>
      <c r="AE32" s="139">
        <f>main!V36</f>
        <v>44137</v>
      </c>
      <c r="AF32" s="151">
        <f>main!H36</f>
        <v>10</v>
      </c>
      <c r="AG32" s="125">
        <f t="shared" si="7"/>
        <v>1.0514128644593843</v>
      </c>
      <c r="AH32" s="125">
        <f t="shared" si="8"/>
        <v>0.30501261130407598</v>
      </c>
      <c r="AI32" s="125">
        <f t="shared" si="9"/>
        <v>1.3710500029458225E-2</v>
      </c>
      <c r="AJ32" s="125">
        <f t="shared" si="10"/>
        <v>0.11073695794954409</v>
      </c>
      <c r="AK32" s="125">
        <f t="shared" si="11"/>
        <v>0.19427565335453181</v>
      </c>
      <c r="AL32" s="125">
        <f t="shared" si="12"/>
        <v>3.7430148254161064E-2</v>
      </c>
      <c r="AM32" s="432">
        <f>depths!$B$3</f>
        <v>1992.1</v>
      </c>
      <c r="AN32" s="376"/>
      <c r="AO32" s="155">
        <f t="shared" si="13"/>
        <v>305.01261130407596</v>
      </c>
      <c r="AP32" s="431">
        <v>1</v>
      </c>
      <c r="AQ32" s="155">
        <f t="shared" si="14"/>
        <v>13.710500029458224</v>
      </c>
      <c r="AR32" s="431">
        <v>1</v>
      </c>
      <c r="AS32" s="155">
        <f t="shared" si="15"/>
        <v>110.73695794954409</v>
      </c>
      <c r="AT32" s="431">
        <v>1</v>
      </c>
      <c r="AU32" s="155">
        <f t="shared" si="16"/>
        <v>194.27565335453181</v>
      </c>
      <c r="AV32" s="431">
        <v>1</v>
      </c>
      <c r="AW32" s="155">
        <f t="shared" si="17"/>
        <v>37.430148254161061</v>
      </c>
      <c r="AX32" s="431">
        <v>1</v>
      </c>
      <c r="AY32" s="155">
        <f t="shared" si="18"/>
        <v>8.0767993662970667</v>
      </c>
      <c r="AZ32" s="155">
        <f t="shared" si="19"/>
        <v>14.16984449415509</v>
      </c>
      <c r="BA32" s="155">
        <f>main!R36</f>
        <v>40.590000000000003</v>
      </c>
      <c r="BB32" s="431">
        <v>1</v>
      </c>
      <c r="BC32" s="155">
        <f>main!S36</f>
        <v>8.58</v>
      </c>
      <c r="BD32" s="431">
        <v>1</v>
      </c>
    </row>
    <row r="33" spans="1:56">
      <c r="A33" s="376">
        <f>main!A37</f>
        <v>2020</v>
      </c>
      <c r="B33" s="376" t="str">
        <f>main!B37</f>
        <v>47_2000</v>
      </c>
      <c r="C33" s="376">
        <f>main!C37</f>
        <v>7</v>
      </c>
      <c r="D33" s="376" t="str">
        <f>main!$B$30</f>
        <v>McLane-PARFLUX-Mark78H-21 ; frame# 12419-02, controller# 12419-02 and motor# 12419-02 Cup set ABx21</v>
      </c>
      <c r="E33" s="376">
        <v>2000</v>
      </c>
      <c r="F33" s="233">
        <v>1</v>
      </c>
      <c r="G33" s="151">
        <f>main!E37</f>
        <v>414.2714285714286</v>
      </c>
      <c r="H33" s="125">
        <f>main!I37</f>
        <v>82.854285714285723</v>
      </c>
      <c r="I33" s="155">
        <f>main!J37</f>
        <v>30.262527857142864</v>
      </c>
      <c r="J33" s="431">
        <v>1</v>
      </c>
      <c r="K33" s="155">
        <f>main!AF37</f>
        <v>71.687960823937473</v>
      </c>
      <c r="L33" s="155">
        <f>main!AG37</f>
        <v>8.6022487407991353</v>
      </c>
      <c r="M33" s="431">
        <v>1</v>
      </c>
      <c r="N33" s="155">
        <f>main!M37</f>
        <v>13.810207366943359</v>
      </c>
      <c r="O33" s="431">
        <v>1</v>
      </c>
      <c r="P33" s="155">
        <f>main!O37</f>
        <v>0.73953312635421753</v>
      </c>
      <c r="Q33" s="431">
        <v>1</v>
      </c>
      <c r="R33" s="155">
        <f>main!AH37</f>
        <v>5.2079586261442241</v>
      </c>
      <c r="S33" s="431">
        <v>1</v>
      </c>
      <c r="T33" s="155">
        <f>main!AB37</f>
        <v>3.6777939637434365</v>
      </c>
      <c r="U33" s="431">
        <v>1</v>
      </c>
      <c r="V33" s="155">
        <f>main!AC37</f>
        <v>7.8675200883354623</v>
      </c>
      <c r="W33" s="155">
        <f t="shared" si="1"/>
        <v>21.69458911456174</v>
      </c>
      <c r="X33" s="155">
        <f t="shared" si="2"/>
        <v>2.6032579215250595</v>
      </c>
      <c r="Y33" s="155">
        <f t="shared" si="3"/>
        <v>4.1793178515504295</v>
      </c>
      <c r="Z33" s="155">
        <f t="shared" si="4"/>
        <v>0.22380141837574463</v>
      </c>
      <c r="AA33" s="155">
        <f t="shared" si="5"/>
        <v>1.5760599300253706</v>
      </c>
      <c r="AB33" s="155">
        <f t="shared" si="6"/>
        <v>2.3809104583988301</v>
      </c>
      <c r="AC33" s="139">
        <f>main!T37</f>
        <v>44142</v>
      </c>
      <c r="AD33" s="139">
        <f>main!U37</f>
        <v>44152</v>
      </c>
      <c r="AE33" s="139">
        <f>main!V37</f>
        <v>44147</v>
      </c>
      <c r="AF33" s="151">
        <f>main!H37</f>
        <v>10</v>
      </c>
      <c r="AG33" s="125">
        <f t="shared" si="7"/>
        <v>1.1129934228061762</v>
      </c>
      <c r="AH33" s="125">
        <f t="shared" si="8"/>
        <v>0.34798649888013566</v>
      </c>
      <c r="AI33" s="125">
        <f t="shared" si="9"/>
        <v>1.5974405308761215E-2</v>
      </c>
      <c r="AJ33" s="125">
        <f t="shared" si="10"/>
        <v>0.13122897002709163</v>
      </c>
      <c r="AK33" s="125">
        <f t="shared" si="11"/>
        <v>0.21675752885304408</v>
      </c>
      <c r="AL33" s="125">
        <f t="shared" si="12"/>
        <v>3.962240736227042E-2</v>
      </c>
      <c r="AM33" s="432">
        <f>depths!$B$3</f>
        <v>1992.1</v>
      </c>
      <c r="AN33" s="376"/>
      <c r="AO33" s="155">
        <f t="shared" si="13"/>
        <v>347.98649888013568</v>
      </c>
      <c r="AP33" s="431">
        <v>1</v>
      </c>
      <c r="AQ33" s="155">
        <f t="shared" si="14"/>
        <v>15.974405308761215</v>
      </c>
      <c r="AR33" s="431">
        <v>1</v>
      </c>
      <c r="AS33" s="155">
        <f t="shared" si="15"/>
        <v>131.22897002709163</v>
      </c>
      <c r="AT33" s="431">
        <v>1</v>
      </c>
      <c r="AU33" s="155">
        <f t="shared" si="16"/>
        <v>216.75752885304408</v>
      </c>
      <c r="AV33" s="431">
        <v>1</v>
      </c>
      <c r="AW33" s="155">
        <f t="shared" si="17"/>
        <v>39.622407362270422</v>
      </c>
      <c r="AX33" s="431">
        <v>1</v>
      </c>
      <c r="AY33" s="155">
        <f t="shared" si="18"/>
        <v>8.2149518239103827</v>
      </c>
      <c r="AZ33" s="155">
        <f t="shared" si="19"/>
        <v>13.569051533590594</v>
      </c>
      <c r="BA33" s="155">
        <f>main!R37</f>
        <v>40.4</v>
      </c>
      <c r="BB33" s="431">
        <v>1</v>
      </c>
      <c r="BC33" s="155">
        <f>main!S37</f>
        <v>8.57</v>
      </c>
      <c r="BD33" s="431">
        <v>1</v>
      </c>
    </row>
    <row r="34" spans="1:56">
      <c r="A34" s="376">
        <f>main!A38</f>
        <v>2020</v>
      </c>
      <c r="B34" s="376" t="str">
        <f>main!B38</f>
        <v>47_2000</v>
      </c>
      <c r="C34" s="376">
        <f>main!C38</f>
        <v>8</v>
      </c>
      <c r="D34" s="376" t="str">
        <f>main!$B$30</f>
        <v>McLane-PARFLUX-Mark78H-21 ; frame# 12419-02, controller# 12419-02 and motor# 12419-02 Cup set ABx21</v>
      </c>
      <c r="E34" s="376">
        <v>2000</v>
      </c>
      <c r="F34" s="233">
        <v>1</v>
      </c>
      <c r="G34" s="151">
        <f>main!E38</f>
        <v>332.6571428571429</v>
      </c>
      <c r="H34" s="125">
        <f>main!I38</f>
        <v>66.531428571428577</v>
      </c>
      <c r="I34" s="155">
        <f>main!J38</f>
        <v>24.300604285714293</v>
      </c>
      <c r="J34" s="431">
        <v>1</v>
      </c>
      <c r="K34" s="155">
        <f>main!AF38</f>
        <v>69.964595670957223</v>
      </c>
      <c r="L34" s="155">
        <f>main!AG38</f>
        <v>8.3954522920401793</v>
      </c>
      <c r="M34" s="431">
        <v>1</v>
      </c>
      <c r="N34" s="155">
        <f>main!M38</f>
        <v>13.826024055480957</v>
      </c>
      <c r="O34" s="431">
        <v>1</v>
      </c>
      <c r="P34" s="155">
        <f>main!O38</f>
        <v>0.75847733020782471</v>
      </c>
      <c r="Q34" s="431">
        <v>1</v>
      </c>
      <c r="R34" s="155">
        <f>main!AH38</f>
        <v>5.4305717634407777</v>
      </c>
      <c r="S34" s="431">
        <v>1</v>
      </c>
      <c r="T34" s="155">
        <f>main!AB38</f>
        <v>3.5494691488896661</v>
      </c>
      <c r="U34" s="431">
        <v>1</v>
      </c>
      <c r="V34" s="155">
        <f>main!AC38</f>
        <v>7.5930082291484542</v>
      </c>
      <c r="W34" s="155">
        <f t="shared" si="1"/>
        <v>17.001819534099308</v>
      </c>
      <c r="X34" s="155">
        <f t="shared" si="2"/>
        <v>2.0401456394846145</v>
      </c>
      <c r="Y34" s="155">
        <f t="shared" si="3"/>
        <v>3.3598073941700943</v>
      </c>
      <c r="Z34" s="155">
        <f t="shared" si="4"/>
        <v>0.18431457461065401</v>
      </c>
      <c r="AA34" s="155">
        <f t="shared" si="5"/>
        <v>1.3196617546854799</v>
      </c>
      <c r="AB34" s="155">
        <f t="shared" si="6"/>
        <v>1.8451468831470881</v>
      </c>
      <c r="AC34" s="139">
        <f>main!T38</f>
        <v>44152</v>
      </c>
      <c r="AD34" s="139">
        <f>main!U38</f>
        <v>44162</v>
      </c>
      <c r="AE34" s="139">
        <f>main!V38</f>
        <v>44157</v>
      </c>
      <c r="AF34" s="151">
        <f>main!H38</f>
        <v>10</v>
      </c>
      <c r="AG34" s="125">
        <f t="shared" si="7"/>
        <v>0.86254245211518887</v>
      </c>
      <c r="AH34" s="125">
        <f t="shared" si="8"/>
        <v>0.27975082382765148</v>
      </c>
      <c r="AI34" s="125">
        <f t="shared" si="9"/>
        <v>1.3155929665285797E-2</v>
      </c>
      <c r="AJ34" s="125">
        <f t="shared" si="10"/>
        <v>0.10988024601877434</v>
      </c>
      <c r="AK34" s="125">
        <f t="shared" si="11"/>
        <v>0.16987057780887715</v>
      </c>
      <c r="AL34" s="125">
        <f t="shared" si="12"/>
        <v>3.0706388469746847E-2</v>
      </c>
      <c r="AM34" s="432">
        <f>depths!$B$3</f>
        <v>1992.1</v>
      </c>
      <c r="AN34" s="376"/>
      <c r="AO34" s="155">
        <f t="shared" si="13"/>
        <v>279.75082382765146</v>
      </c>
      <c r="AP34" s="431">
        <v>1</v>
      </c>
      <c r="AQ34" s="155">
        <f t="shared" si="14"/>
        <v>13.155929665285797</v>
      </c>
      <c r="AR34" s="431">
        <v>1</v>
      </c>
      <c r="AS34" s="155">
        <f t="shared" si="15"/>
        <v>109.88024601877434</v>
      </c>
      <c r="AT34" s="431">
        <v>1</v>
      </c>
      <c r="AU34" s="155">
        <f t="shared" si="16"/>
        <v>169.87057780887716</v>
      </c>
      <c r="AV34" s="431">
        <v>1</v>
      </c>
      <c r="AW34" s="155">
        <f t="shared" si="17"/>
        <v>30.706388469746848</v>
      </c>
      <c r="AX34" s="431">
        <v>1</v>
      </c>
      <c r="AY34" s="155">
        <f t="shared" si="18"/>
        <v>8.3521460523396112</v>
      </c>
      <c r="AZ34" s="155">
        <f t="shared" si="19"/>
        <v>12.912092275554661</v>
      </c>
      <c r="BA34" s="155">
        <f>main!R38</f>
        <v>40.43</v>
      </c>
      <c r="BB34" s="431">
        <v>1</v>
      </c>
      <c r="BC34" s="155">
        <f>main!S38</f>
        <v>8.59</v>
      </c>
      <c r="BD34" s="431">
        <v>1</v>
      </c>
    </row>
    <row r="35" spans="1:56">
      <c r="A35" s="376">
        <f>main!A39</f>
        <v>2020</v>
      </c>
      <c r="B35" s="376" t="str">
        <f>main!B39</f>
        <v>47_2000</v>
      </c>
      <c r="C35" s="376">
        <f>main!C39</f>
        <v>9</v>
      </c>
      <c r="D35" s="376" t="str">
        <f>main!$B$30</f>
        <v>McLane-PARFLUX-Mark78H-21 ; frame# 12419-02, controller# 12419-02 and motor# 12419-02 Cup set ABx21</v>
      </c>
      <c r="E35" s="376">
        <v>2000</v>
      </c>
      <c r="F35" s="233">
        <v>1</v>
      </c>
      <c r="G35" s="151">
        <f>main!E39</f>
        <v>462.40000000000003</v>
      </c>
      <c r="H35" s="125">
        <f>main!I39</f>
        <v>92.48</v>
      </c>
      <c r="I35" s="155">
        <f>main!J39</f>
        <v>33.778320000000001</v>
      </c>
      <c r="J35" s="431">
        <v>1</v>
      </c>
      <c r="K35" s="155">
        <f>main!AF39</f>
        <v>68.095542501617928</v>
      </c>
      <c r="L35" s="155">
        <f>main!AG39</f>
        <v>8.1711739043214564</v>
      </c>
      <c r="M35" s="431">
        <v>1</v>
      </c>
      <c r="N35" s="155">
        <f>main!M39</f>
        <v>13.597410202026367</v>
      </c>
      <c r="O35" s="431">
        <v>1</v>
      </c>
      <c r="P35" s="155">
        <f>main!O39</f>
        <v>0.74714404344558716</v>
      </c>
      <c r="Q35" s="431">
        <v>1</v>
      </c>
      <c r="R35" s="155">
        <f>main!AH39</f>
        <v>5.4262362977049108</v>
      </c>
      <c r="S35" s="431">
        <v>1</v>
      </c>
      <c r="T35" s="155">
        <f>main!AB39</f>
        <v>3.9647975997547364</v>
      </c>
      <c r="U35" s="431">
        <v>1</v>
      </c>
      <c r="V35" s="155">
        <f>main!AC39</f>
        <v>8.4814769586778969</v>
      </c>
      <c r="W35" s="155">
        <f t="shared" si="1"/>
        <v>23.001530251932508</v>
      </c>
      <c r="X35" s="155">
        <f t="shared" si="2"/>
        <v>2.7600852691581954</v>
      </c>
      <c r="Y35" s="155">
        <f t="shared" si="3"/>
        <v>4.5929767297531123</v>
      </c>
      <c r="Z35" s="155">
        <f t="shared" si="4"/>
        <v>0.25237270585598948</v>
      </c>
      <c r="AA35" s="155">
        <f t="shared" si="5"/>
        <v>1.8328914605949176</v>
      </c>
      <c r="AB35" s="155">
        <f t="shared" si="6"/>
        <v>2.8649004278284878</v>
      </c>
      <c r="AC35" s="139">
        <f>main!T39</f>
        <v>44162</v>
      </c>
      <c r="AD35" s="139">
        <f>main!U39</f>
        <v>44172</v>
      </c>
      <c r="AE35" s="139">
        <f>main!V39</f>
        <v>44167</v>
      </c>
      <c r="AF35" s="151">
        <f>main!H39</f>
        <v>10</v>
      </c>
      <c r="AG35" s="125">
        <f t="shared" si="7"/>
        <v>1.3392420205974742</v>
      </c>
      <c r="AH35" s="125">
        <f t="shared" si="8"/>
        <v>0.38242936967136654</v>
      </c>
      <c r="AI35" s="125">
        <f t="shared" si="9"/>
        <v>1.8013754879085617E-2</v>
      </c>
      <c r="AJ35" s="125">
        <f t="shared" si="10"/>
        <v>0.15261377690215799</v>
      </c>
      <c r="AK35" s="125">
        <f t="shared" si="11"/>
        <v>0.22981559276920863</v>
      </c>
      <c r="AL35" s="125">
        <f t="shared" si="12"/>
        <v>4.767682522596918E-2</v>
      </c>
      <c r="AM35" s="432">
        <f>depths!$B$3</f>
        <v>1992.1</v>
      </c>
      <c r="AN35" s="376"/>
      <c r="AO35" s="155">
        <f t="shared" si="13"/>
        <v>382.42936967136654</v>
      </c>
      <c r="AP35" s="431">
        <v>1</v>
      </c>
      <c r="AQ35" s="155">
        <f t="shared" si="14"/>
        <v>18.013754879085617</v>
      </c>
      <c r="AR35" s="431">
        <v>1</v>
      </c>
      <c r="AS35" s="155">
        <f t="shared" si="15"/>
        <v>152.61377690215798</v>
      </c>
      <c r="AT35" s="431">
        <v>1</v>
      </c>
      <c r="AU35" s="155">
        <f t="shared" si="16"/>
        <v>229.81559276920862</v>
      </c>
      <c r="AV35" s="431">
        <v>1</v>
      </c>
      <c r="AW35" s="155">
        <f t="shared" si="17"/>
        <v>47.676825225969182</v>
      </c>
      <c r="AX35" s="431">
        <v>1</v>
      </c>
      <c r="AY35" s="155">
        <f t="shared" si="18"/>
        <v>8.4720691453032977</v>
      </c>
      <c r="AZ35" s="155">
        <f t="shared" si="19"/>
        <v>12.757783944092067</v>
      </c>
      <c r="BA35" s="155">
        <f>main!R39</f>
        <v>40.14</v>
      </c>
      <c r="BB35" s="431">
        <v>1</v>
      </c>
      <c r="BC35" s="155">
        <f>main!S39</f>
        <v>8.58</v>
      </c>
      <c r="BD35" s="431">
        <v>1</v>
      </c>
    </row>
    <row r="36" spans="1:56">
      <c r="A36" s="376">
        <f>main!A40</f>
        <v>2020</v>
      </c>
      <c r="B36" s="376" t="str">
        <f>main!B40</f>
        <v>47_2000</v>
      </c>
      <c r="C36" s="376">
        <f>main!C40</f>
        <v>10</v>
      </c>
      <c r="D36" s="376" t="str">
        <f>main!$B$30</f>
        <v>McLane-PARFLUX-Mark78H-21 ; frame# 12419-02, controller# 12419-02 and motor# 12419-02 Cup set ABx21</v>
      </c>
      <c r="E36" s="376">
        <v>2000</v>
      </c>
      <c r="F36" s="233">
        <v>1</v>
      </c>
      <c r="G36" s="151">
        <f>main!E40</f>
        <v>357.8142857142858</v>
      </c>
      <c r="H36" s="125">
        <f>main!I40</f>
        <v>71.562857142857155</v>
      </c>
      <c r="I36" s="155">
        <f>main!J40</f>
        <v>26.138333571428582</v>
      </c>
      <c r="J36" s="431">
        <v>1</v>
      </c>
      <c r="K36" s="155">
        <f>main!AF40</f>
        <v>65.52664917410354</v>
      </c>
      <c r="L36" s="155">
        <f>main!AG40</f>
        <v>7.862917690336932</v>
      </c>
      <c r="M36" s="431">
        <v>1</v>
      </c>
      <c r="N36" s="155">
        <f>main!M40</f>
        <v>13.552042961120605</v>
      </c>
      <c r="O36" s="431">
        <v>1</v>
      </c>
      <c r="P36" s="155">
        <f>main!O40</f>
        <v>0.85094332695007324</v>
      </c>
      <c r="Q36" s="431">
        <v>1</v>
      </c>
      <c r="R36" s="155">
        <f>main!AH40</f>
        <v>5.6891252707836735</v>
      </c>
      <c r="S36" s="431">
        <v>1</v>
      </c>
      <c r="T36" s="155">
        <f>main!AB40</f>
        <v>6.10953162858093</v>
      </c>
      <c r="U36" s="431">
        <v>1</v>
      </c>
      <c r="V36" s="155">
        <f>main!AC40</f>
        <v>13.069482220057962</v>
      </c>
      <c r="W36" s="155">
        <f t="shared" si="1"/>
        <v>17.127574139306933</v>
      </c>
      <c r="X36" s="155">
        <f t="shared" si="2"/>
        <v>2.0552356543471353</v>
      </c>
      <c r="Y36" s="155">
        <f t="shared" si="3"/>
        <v>3.5422781949210114</v>
      </c>
      <c r="Z36" s="155">
        <f t="shared" si="4"/>
        <v>0.22242240530202229</v>
      </c>
      <c r="AA36" s="155">
        <f t="shared" si="5"/>
        <v>1.4870425405738763</v>
      </c>
      <c r="AB36" s="155">
        <f t="shared" si="6"/>
        <v>3.4161448587373</v>
      </c>
      <c r="AC36" s="139">
        <f>main!T40</f>
        <v>44172</v>
      </c>
      <c r="AD36" s="139">
        <f>main!U40</f>
        <v>44182</v>
      </c>
      <c r="AE36" s="139">
        <f>main!V40</f>
        <v>44177</v>
      </c>
      <c r="AF36" s="151">
        <f>main!H40</f>
        <v>10</v>
      </c>
      <c r="AG36" s="125">
        <f t="shared" si="7"/>
        <v>1.5969297567304166</v>
      </c>
      <c r="AH36" s="125">
        <f t="shared" si="8"/>
        <v>0.29494406285770286</v>
      </c>
      <c r="AI36" s="125">
        <f t="shared" si="9"/>
        <v>1.5875974682514081E-2</v>
      </c>
      <c r="AJ36" s="125">
        <f t="shared" si="10"/>
        <v>0.12381703085544349</v>
      </c>
      <c r="AK36" s="125">
        <f t="shared" si="11"/>
        <v>0.1711270320022594</v>
      </c>
      <c r="AL36" s="125">
        <f t="shared" si="12"/>
        <v>5.6850471937715079E-2</v>
      </c>
      <c r="AM36" s="432">
        <f>depths!$B$3</f>
        <v>1992.1</v>
      </c>
      <c r="AN36" s="376"/>
      <c r="AO36" s="155">
        <f t="shared" si="13"/>
        <v>294.94406285770287</v>
      </c>
      <c r="AP36" s="431">
        <v>1</v>
      </c>
      <c r="AQ36" s="155">
        <f t="shared" si="14"/>
        <v>15.87597468251408</v>
      </c>
      <c r="AR36" s="431">
        <v>1</v>
      </c>
      <c r="AS36" s="155">
        <f t="shared" si="15"/>
        <v>123.81703085544349</v>
      </c>
      <c r="AT36" s="431">
        <v>1</v>
      </c>
      <c r="AU36" s="155">
        <f t="shared" si="16"/>
        <v>171.1270320022594</v>
      </c>
      <c r="AV36" s="431">
        <v>1</v>
      </c>
      <c r="AW36" s="155">
        <f t="shared" si="17"/>
        <v>56.850471937715078</v>
      </c>
      <c r="AX36" s="431">
        <v>1</v>
      </c>
      <c r="AY36" s="155">
        <f t="shared" si="18"/>
        <v>7.7990191677375575</v>
      </c>
      <c r="AZ36" s="155">
        <f t="shared" si="19"/>
        <v>10.778993757828299</v>
      </c>
      <c r="BA36" s="155">
        <f>main!R40</f>
        <v>40.130000000000003</v>
      </c>
      <c r="BB36" s="431">
        <v>1</v>
      </c>
      <c r="BC36" s="155">
        <f>main!S40</f>
        <v>8.5500000000000007</v>
      </c>
      <c r="BD36" s="431">
        <v>1</v>
      </c>
    </row>
    <row r="37" spans="1:56">
      <c r="A37" s="376">
        <f>main!A41</f>
        <v>2020</v>
      </c>
      <c r="B37" s="376" t="str">
        <f>main!B41</f>
        <v>47_2000</v>
      </c>
      <c r="C37" s="376">
        <f>main!C41</f>
        <v>11</v>
      </c>
      <c r="D37" s="376" t="str">
        <f>main!$B$30</f>
        <v>McLane-PARFLUX-Mark78H-21 ; frame# 12419-02, controller# 12419-02 and motor# 12419-02 Cup set ABx21</v>
      </c>
      <c r="E37" s="376">
        <v>2000</v>
      </c>
      <c r="F37" s="233">
        <v>1</v>
      </c>
      <c r="G37" s="151">
        <f>main!E41</f>
        <v>1260.0142857142857</v>
      </c>
      <c r="H37" s="125">
        <f>main!I41</f>
        <v>252.00285714285715</v>
      </c>
      <c r="I37" s="155">
        <f>main!J41</f>
        <v>92.044043571428574</v>
      </c>
      <c r="J37" s="431">
        <v>1</v>
      </c>
      <c r="K37" s="155">
        <f>main!AF41</f>
        <v>53.2275104760839</v>
      </c>
      <c r="L37" s="155">
        <f>main!AG41</f>
        <v>6.3870736411834876</v>
      </c>
      <c r="M37" s="431">
        <v>1</v>
      </c>
      <c r="N37" s="155">
        <f>main!M41</f>
        <v>13.333328247070313</v>
      </c>
      <c r="O37" s="431">
        <v>1</v>
      </c>
      <c r="P37" s="155">
        <f>main!O41</f>
        <v>0.94212967157363892</v>
      </c>
      <c r="Q37" s="431">
        <v>1</v>
      </c>
      <c r="R37" s="155">
        <f>main!AH41</f>
        <v>6.9462546058868249</v>
      </c>
      <c r="S37" s="431">
        <v>1</v>
      </c>
      <c r="T37" s="155">
        <f>main!AB41</f>
        <v>10.82106500146045</v>
      </c>
      <c r="U37" s="431">
        <v>1</v>
      </c>
      <c r="V37" s="155">
        <f>main!AC41</f>
        <v>23.148372941892436</v>
      </c>
      <c r="W37" s="155">
        <f t="shared" si="1"/>
        <v>48.992752934593369</v>
      </c>
      <c r="X37" s="155">
        <f t="shared" si="2"/>
        <v>5.8789208452301596</v>
      </c>
      <c r="Y37" s="155">
        <f t="shared" si="3"/>
        <v>12.272534461254992</v>
      </c>
      <c r="Z37" s="155">
        <f t="shared" si="4"/>
        <v>0.86717424540259713</v>
      </c>
      <c r="AA37" s="155">
        <f t="shared" si="5"/>
        <v>6.3936136160248331</v>
      </c>
      <c r="AB37" s="155">
        <f t="shared" si="6"/>
        <v>21.306698476712256</v>
      </c>
      <c r="AC37" s="139">
        <f>main!T41</f>
        <v>44182</v>
      </c>
      <c r="AD37" s="139">
        <f>main!U41</f>
        <v>44192</v>
      </c>
      <c r="AE37" s="139">
        <f>main!V41</f>
        <v>44187</v>
      </c>
      <c r="AF37" s="151">
        <f>main!H41</f>
        <v>10</v>
      </c>
      <c r="AG37" s="125">
        <f t="shared" si="7"/>
        <v>9.9601457848368646</v>
      </c>
      <c r="AH37" s="125">
        <f t="shared" si="8"/>
        <v>1.0218596553917563</v>
      </c>
      <c r="AI37" s="125">
        <f t="shared" si="9"/>
        <v>6.1896805524810646E-2</v>
      </c>
      <c r="AJ37" s="125">
        <f t="shared" si="10"/>
        <v>0.5323575034158895</v>
      </c>
      <c r="AK37" s="125">
        <f t="shared" si="11"/>
        <v>0.48950215197586677</v>
      </c>
      <c r="AL37" s="125">
        <f t="shared" si="12"/>
        <v>0.35457977162110588</v>
      </c>
      <c r="AM37" s="432">
        <f>depths!$B$3</f>
        <v>1992.1</v>
      </c>
      <c r="AN37" s="376"/>
      <c r="AO37" s="155">
        <f t="shared" si="13"/>
        <v>1021.8596553917563</v>
      </c>
      <c r="AP37" s="431">
        <v>1</v>
      </c>
      <c r="AQ37" s="155">
        <f t="shared" si="14"/>
        <v>61.896805524810645</v>
      </c>
      <c r="AR37" s="431">
        <v>1</v>
      </c>
      <c r="AS37" s="155">
        <f t="shared" si="15"/>
        <v>532.35750341588948</v>
      </c>
      <c r="AT37" s="431">
        <v>1</v>
      </c>
      <c r="AU37" s="155">
        <f t="shared" si="16"/>
        <v>489.50215197586675</v>
      </c>
      <c r="AV37" s="431">
        <v>1</v>
      </c>
      <c r="AW37" s="155">
        <f t="shared" si="17"/>
        <v>354.57977162110586</v>
      </c>
      <c r="AX37" s="431">
        <v>1</v>
      </c>
      <c r="AY37" s="155">
        <f t="shared" si="18"/>
        <v>8.6007266272004923</v>
      </c>
      <c r="AZ37" s="155">
        <f t="shared" si="19"/>
        <v>7.9083588858177061</v>
      </c>
      <c r="BA37" s="155">
        <f>main!R41</f>
        <v>39.15</v>
      </c>
      <c r="BB37" s="431">
        <v>1</v>
      </c>
      <c r="BC37" s="155">
        <f>main!S41</f>
        <v>8.44</v>
      </c>
      <c r="BD37" s="431">
        <v>1</v>
      </c>
    </row>
    <row r="38" spans="1:56">
      <c r="A38" s="376">
        <f>main!A42</f>
        <v>2020</v>
      </c>
      <c r="B38" s="376" t="str">
        <f>main!B42</f>
        <v>47_2000</v>
      </c>
      <c r="C38" s="376">
        <f>main!C42</f>
        <v>12</v>
      </c>
      <c r="D38" s="376" t="str">
        <f>main!$B$30</f>
        <v>McLane-PARFLUX-Mark78H-21 ; frame# 12419-02, controller# 12419-02 and motor# 12419-02 Cup set ABx21</v>
      </c>
      <c r="E38" s="376">
        <v>2000</v>
      </c>
      <c r="F38" s="233">
        <v>1</v>
      </c>
      <c r="G38" s="151">
        <f>main!E42</f>
        <v>724.65714285714284</v>
      </c>
      <c r="H38" s="125">
        <f>main!I42</f>
        <v>144.93142857142857</v>
      </c>
      <c r="I38" s="155">
        <f>main!J42</f>
        <v>52.93620428571429</v>
      </c>
      <c r="J38" s="431">
        <v>1</v>
      </c>
      <c r="K38" s="155">
        <f>main!AF42</f>
        <v>61.949250762155472</v>
      </c>
      <c r="L38" s="155">
        <f>main!AG42</f>
        <v>7.4336451788744293</v>
      </c>
      <c r="M38" s="431">
        <v>1</v>
      </c>
      <c r="N38" s="155">
        <f>main!M42</f>
        <v>13.47187328338623</v>
      </c>
      <c r="O38" s="431">
        <v>1</v>
      </c>
      <c r="P38" s="155">
        <f>main!O42</f>
        <v>0.82743889093399048</v>
      </c>
      <c r="Q38" s="431">
        <v>1</v>
      </c>
      <c r="R38" s="155">
        <f>main!AH42</f>
        <v>6.0382281045118011</v>
      </c>
      <c r="S38" s="431">
        <v>1</v>
      </c>
      <c r="T38" s="155">
        <f>main!AB42</f>
        <v>8.6442440349600247</v>
      </c>
      <c r="U38" s="431">
        <v>1</v>
      </c>
      <c r="V38" s="155">
        <f>main!AC42</f>
        <v>18.491727449652824</v>
      </c>
      <c r="W38" s="155">
        <f t="shared" si="1"/>
        <v>32.793581936924035</v>
      </c>
      <c r="X38" s="155">
        <f t="shared" si="2"/>
        <v>3.9350895977641192</v>
      </c>
      <c r="Y38" s="155">
        <f t="shared" si="3"/>
        <v>7.1314983624058996</v>
      </c>
      <c r="Z38" s="155">
        <f t="shared" si="4"/>
        <v>0.43801474164426585</v>
      </c>
      <c r="AA38" s="155">
        <f t="shared" si="5"/>
        <v>3.1964087646417805</v>
      </c>
      <c r="AB38" s="155">
        <f t="shared" si="6"/>
        <v>9.788818618705724</v>
      </c>
      <c r="AC38" s="139">
        <f>main!T42</f>
        <v>44192</v>
      </c>
      <c r="AD38" s="139">
        <f>main!U42</f>
        <v>44202</v>
      </c>
      <c r="AE38" s="139">
        <f>main!V42</f>
        <v>44197</v>
      </c>
      <c r="AF38" s="151">
        <f>main!H42</f>
        <v>10</v>
      </c>
      <c r="AG38" s="125">
        <f t="shared" si="7"/>
        <v>4.57593468130211</v>
      </c>
      <c r="AH38" s="125">
        <f t="shared" si="8"/>
        <v>0.59379669961747705</v>
      </c>
      <c r="AI38" s="125">
        <f t="shared" si="9"/>
        <v>3.1264435520647102E-2</v>
      </c>
      <c r="AJ38" s="125">
        <f t="shared" si="10"/>
        <v>0.26614560904594342</v>
      </c>
      <c r="AK38" s="125">
        <f t="shared" si="11"/>
        <v>0.32765109057153363</v>
      </c>
      <c r="AL38" s="125">
        <f t="shared" si="12"/>
        <v>0.16290262304386294</v>
      </c>
      <c r="AM38" s="432">
        <f>depths!$B$3</f>
        <v>1992.1</v>
      </c>
      <c r="AN38" s="376"/>
      <c r="AO38" s="155">
        <f t="shared" si="13"/>
        <v>593.79669961747709</v>
      </c>
      <c r="AP38" s="431">
        <v>1</v>
      </c>
      <c r="AQ38" s="155">
        <f t="shared" si="14"/>
        <v>31.264435520647101</v>
      </c>
      <c r="AR38" s="431">
        <v>1</v>
      </c>
      <c r="AS38" s="155">
        <f t="shared" si="15"/>
        <v>266.14560904594344</v>
      </c>
      <c r="AT38" s="431">
        <v>1</v>
      </c>
      <c r="AU38" s="155">
        <f t="shared" si="16"/>
        <v>327.65109057153364</v>
      </c>
      <c r="AV38" s="431">
        <v>1</v>
      </c>
      <c r="AW38" s="155">
        <f t="shared" si="17"/>
        <v>162.90262304386295</v>
      </c>
      <c r="AX38" s="431">
        <v>1</v>
      </c>
      <c r="AY38" s="155">
        <f t="shared" si="18"/>
        <v>8.5127271487175999</v>
      </c>
      <c r="AZ38" s="155">
        <f t="shared" si="19"/>
        <v>10.479993804946586</v>
      </c>
      <c r="BA38" s="155">
        <f>main!R42</f>
        <v>40.01</v>
      </c>
      <c r="BB38" s="431">
        <v>1</v>
      </c>
      <c r="BC38" s="155">
        <f>main!S42</f>
        <v>8.5350000000000001</v>
      </c>
      <c r="BD38" s="431">
        <v>1</v>
      </c>
    </row>
    <row r="39" spans="1:56">
      <c r="A39" s="376">
        <f>main!A43</f>
        <v>2020</v>
      </c>
      <c r="B39" s="376" t="str">
        <f>main!B43</f>
        <v>47_2000</v>
      </c>
      <c r="C39" s="376">
        <f>main!C43</f>
        <v>13</v>
      </c>
      <c r="D39" s="376" t="str">
        <f>main!$B$30</f>
        <v>McLane-PARFLUX-Mark78H-21 ; frame# 12419-02, controller# 12419-02 and motor# 12419-02 Cup set ABx21</v>
      </c>
      <c r="E39" s="376">
        <v>2000</v>
      </c>
      <c r="F39" s="233">
        <v>1</v>
      </c>
      <c r="G39" s="151">
        <f>main!E43</f>
        <v>677.48571428571427</v>
      </c>
      <c r="H39" s="125">
        <f>main!I43</f>
        <v>135.49714285714285</v>
      </c>
      <c r="I39" s="155">
        <f>main!J43</f>
        <v>49.49033142857143</v>
      </c>
      <c r="J39" s="431">
        <v>1</v>
      </c>
      <c r="K39" s="155">
        <f>main!AF43</f>
        <v>58.118808149668325</v>
      </c>
      <c r="L39" s="155">
        <f>main!AG43</f>
        <v>6.9740084454360813</v>
      </c>
      <c r="M39" s="431">
        <v>1</v>
      </c>
      <c r="N39" s="155">
        <f>main!M43</f>
        <v>13.004962921142578</v>
      </c>
      <c r="O39" s="431">
        <v>1</v>
      </c>
      <c r="P39" s="155">
        <f>main!O43</f>
        <v>0.8769136369228363</v>
      </c>
      <c r="Q39" s="431">
        <v>1</v>
      </c>
      <c r="R39" s="155">
        <f>main!AH43</f>
        <v>6.0309544757064968</v>
      </c>
      <c r="S39" s="431">
        <v>1</v>
      </c>
      <c r="T39" s="155">
        <f>main!AB43</f>
        <v>9.6224117676464722</v>
      </c>
      <c r="U39" s="431">
        <v>1</v>
      </c>
      <c r="V39" s="155">
        <f>main!AC43</f>
        <v>20.584219406118777</v>
      </c>
      <c r="W39" s="155">
        <f t="shared" si="1"/>
        <v>28.763190775606436</v>
      </c>
      <c r="X39" s="155">
        <f t="shared" si="2"/>
        <v>3.4514598935028786</v>
      </c>
      <c r="Y39" s="155">
        <f t="shared" si="3"/>
        <v>6.4361992518362872</v>
      </c>
      <c r="Z39" s="155">
        <f t="shared" si="4"/>
        <v>0.43398746525545123</v>
      </c>
      <c r="AA39" s="155">
        <f t="shared" si="5"/>
        <v>2.9847393583334076</v>
      </c>
      <c r="AB39" s="155">
        <f t="shared" si="6"/>
        <v>10.1871984060725</v>
      </c>
      <c r="AC39" s="139">
        <f>main!T43</f>
        <v>44202</v>
      </c>
      <c r="AD39" s="139">
        <f>main!U43</f>
        <v>44212</v>
      </c>
      <c r="AE39" s="139">
        <f>main!V43</f>
        <v>44207</v>
      </c>
      <c r="AF39" s="151">
        <f>main!H43</f>
        <v>10</v>
      </c>
      <c r="AG39" s="125">
        <f t="shared" si="7"/>
        <v>4.7621634752300972</v>
      </c>
      <c r="AH39" s="125">
        <f t="shared" si="8"/>
        <v>0.53590335152675161</v>
      </c>
      <c r="AI39" s="125">
        <f t="shared" si="9"/>
        <v>3.0976978248069324E-2</v>
      </c>
      <c r="AJ39" s="125">
        <f t="shared" si="10"/>
        <v>0.24852117887871839</v>
      </c>
      <c r="AK39" s="125">
        <f t="shared" si="11"/>
        <v>0.28738217264803317</v>
      </c>
      <c r="AL39" s="125">
        <f t="shared" si="12"/>
        <v>0.1695323415888251</v>
      </c>
      <c r="AM39" s="432">
        <f>depths!$B$3</f>
        <v>1992.1</v>
      </c>
      <c r="AN39" s="376"/>
      <c r="AO39" s="155">
        <f t="shared" si="13"/>
        <v>535.90335152675163</v>
      </c>
      <c r="AP39" s="431">
        <v>1</v>
      </c>
      <c r="AQ39" s="155">
        <f t="shared" si="14"/>
        <v>30.976978248069326</v>
      </c>
      <c r="AR39" s="431">
        <v>1</v>
      </c>
      <c r="AS39" s="155">
        <f t="shared" si="15"/>
        <v>248.52117887871839</v>
      </c>
      <c r="AT39" s="431">
        <v>1</v>
      </c>
      <c r="AU39" s="155">
        <f t="shared" si="16"/>
        <v>287.38217264803319</v>
      </c>
      <c r="AV39" s="431">
        <v>1</v>
      </c>
      <c r="AW39" s="155">
        <f t="shared" si="17"/>
        <v>169.53234158882509</v>
      </c>
      <c r="AX39" s="431">
        <v>1</v>
      </c>
      <c r="AY39" s="155">
        <f t="shared" si="18"/>
        <v>8.0227702291848857</v>
      </c>
      <c r="AZ39" s="155">
        <f t="shared" si="19"/>
        <v>9.2772823206519384</v>
      </c>
      <c r="BA39" s="155">
        <f>main!R43</f>
        <v>39.93</v>
      </c>
      <c r="BB39" s="431">
        <v>1</v>
      </c>
      <c r="BC39" s="155">
        <f>main!S43</f>
        <v>8.57</v>
      </c>
      <c r="BD39" s="431">
        <v>1</v>
      </c>
    </row>
    <row r="40" spans="1:56">
      <c r="A40" s="376">
        <f>main!A44</f>
        <v>2020</v>
      </c>
      <c r="B40" s="376" t="str">
        <f>main!B44</f>
        <v>47_2000</v>
      </c>
      <c r="C40" s="376">
        <f>main!C44</f>
        <v>14</v>
      </c>
      <c r="D40" s="376" t="str">
        <f>main!$B$30</f>
        <v>McLane-PARFLUX-Mark78H-21 ; frame# 12419-02, controller# 12419-02 and motor# 12419-02 Cup set ABx21</v>
      </c>
      <c r="E40" s="376">
        <v>2000</v>
      </c>
      <c r="F40" s="233">
        <v>1</v>
      </c>
      <c r="G40" s="151">
        <f>main!E44</f>
        <v>601.67999999999995</v>
      </c>
      <c r="H40" s="125">
        <f>main!I44</f>
        <v>120.33599999999998</v>
      </c>
      <c r="I40" s="155">
        <f>main!J44</f>
        <v>43.952724000000003</v>
      </c>
      <c r="J40" s="431">
        <v>1</v>
      </c>
      <c r="K40" s="155">
        <f>main!AF44</f>
        <v>63.718579220613371</v>
      </c>
      <c r="L40" s="155">
        <f>main!AG44</f>
        <v>7.6459570277385618</v>
      </c>
      <c r="M40" s="431">
        <v>1</v>
      </c>
      <c r="N40" s="155">
        <f>main!M44</f>
        <v>13.06114387512207</v>
      </c>
      <c r="O40" s="431">
        <v>1</v>
      </c>
      <c r="P40" s="155">
        <f>main!O44</f>
        <v>0.77106380462646484</v>
      </c>
      <c r="Q40" s="431">
        <v>1</v>
      </c>
      <c r="R40" s="155">
        <f>main!AH44</f>
        <v>5.4151868473835085</v>
      </c>
      <c r="S40" s="431">
        <v>1</v>
      </c>
      <c r="T40" s="155">
        <f>main!AB44</f>
        <v>7.5553756533870153</v>
      </c>
      <c r="U40" s="431">
        <v>1</v>
      </c>
      <c r="V40" s="155">
        <f>main!AC44</f>
        <v>16.162425169527442</v>
      </c>
      <c r="W40" s="155">
        <f>(K40/100)*$I40</f>
        <v>28.006051261557548</v>
      </c>
      <c r="X40" s="155">
        <f t="shared" si="2"/>
        <v>3.3606063895605338</v>
      </c>
      <c r="Y40" s="155">
        <f>(N40/100)*$I40</f>
        <v>5.7407285186753079</v>
      </c>
      <c r="Z40" s="155">
        <f>(P40/100)*$I40</f>
        <v>0.33890354591136934</v>
      </c>
      <c r="AA40" s="155">
        <f>(R40/100)*$I40</f>
        <v>2.3801221291147749</v>
      </c>
      <c r="AB40" s="155">
        <f>(V40/100)*$I40</f>
        <v>7.1038261264689293</v>
      </c>
      <c r="AC40" s="139">
        <f>main!T44</f>
        <v>44212</v>
      </c>
      <c r="AD40" s="139">
        <f>main!U44</f>
        <v>44222</v>
      </c>
      <c r="AE40" s="139">
        <f>main!V44</f>
        <v>44217</v>
      </c>
      <c r="AF40" s="151">
        <f>main!H44</f>
        <v>10</v>
      </c>
      <c r="AG40" s="125">
        <f>(T40/100)*$I40</f>
        <v>3.3207934080963919</v>
      </c>
      <c r="AH40" s="125">
        <f>Y40/12.01</f>
        <v>0.4779957134617242</v>
      </c>
      <c r="AI40" s="125">
        <f>Z40/14.01</f>
        <v>2.4190117481182681E-2</v>
      </c>
      <c r="AJ40" s="125">
        <f>AA40/12.01</f>
        <v>0.19817836212446086</v>
      </c>
      <c r="AK40" s="125">
        <f>X40/12.01</f>
        <v>0.27981735133726343</v>
      </c>
      <c r="AL40" s="125">
        <f>AG40/28.09</f>
        <v>0.11821977244914175</v>
      </c>
      <c r="AM40" s="432">
        <f>depths!$B$3</f>
        <v>1992.1</v>
      </c>
      <c r="AN40" s="376"/>
      <c r="AO40" s="155">
        <f>AH40*1000</f>
        <v>477.99571346172422</v>
      </c>
      <c r="AP40" s="431">
        <v>1</v>
      </c>
      <c r="AQ40" s="155">
        <f>AI40*1000</f>
        <v>24.190117481182682</v>
      </c>
      <c r="AR40" s="431">
        <v>1</v>
      </c>
      <c r="AS40" s="155">
        <f>AJ40*1000</f>
        <v>198.17836212446085</v>
      </c>
      <c r="AT40" s="431">
        <v>1</v>
      </c>
      <c r="AU40" s="155">
        <f>AK40*1000</f>
        <v>279.8173513372634</v>
      </c>
      <c r="AV40" s="431">
        <v>1</v>
      </c>
      <c r="AW40" s="155">
        <f>AL40*1000</f>
        <v>118.21977244914176</v>
      </c>
      <c r="AX40" s="431">
        <v>1</v>
      </c>
      <c r="AY40" s="155">
        <f>AS40/AQ40</f>
        <v>8.1925340907758049</v>
      </c>
      <c r="AZ40" s="155">
        <f>AU40/AQ40</f>
        <v>11.567424240702067</v>
      </c>
      <c r="BA40" s="155">
        <f>main!R44</f>
        <v>40.159999999999997</v>
      </c>
      <c r="BB40" s="431">
        <v>1</v>
      </c>
      <c r="BC40" s="155">
        <f>main!S44</f>
        <v>8.59</v>
      </c>
      <c r="BD40" s="431">
        <v>1</v>
      </c>
    </row>
    <row r="41" spans="1:56">
      <c r="A41" s="376">
        <f>main!A45</f>
        <v>2020</v>
      </c>
      <c r="B41" s="376" t="str">
        <f>main!B45</f>
        <v>47_2000</v>
      </c>
      <c r="C41" s="376">
        <f>main!C45</f>
        <v>15</v>
      </c>
      <c r="D41" s="376" t="str">
        <f>main!$B$30</f>
        <v>McLane-PARFLUX-Mark78H-21 ; frame# 12419-02, controller# 12419-02 and motor# 12419-02 Cup set ABx21</v>
      </c>
      <c r="E41" s="376">
        <v>2000</v>
      </c>
      <c r="F41" s="233">
        <v>1</v>
      </c>
      <c r="G41" s="151">
        <f>main!E45</f>
        <v>404.14285714285711</v>
      </c>
      <c r="H41" s="125">
        <f>main!I45</f>
        <v>80.828571428571422</v>
      </c>
      <c r="I41" s="155">
        <f>main!J45</f>
        <v>29.522635714285713</v>
      </c>
      <c r="J41" s="431">
        <v>1</v>
      </c>
      <c r="K41" s="155">
        <f>main!AF45</f>
        <v>72.744007092626234</v>
      </c>
      <c r="L41" s="155">
        <f>main!AG45</f>
        <v>8.7289697770881212</v>
      </c>
      <c r="M41" s="431">
        <v>1</v>
      </c>
      <c r="N41" s="155">
        <f>main!M45</f>
        <v>13.275106430053711</v>
      </c>
      <c r="O41" s="431">
        <v>1</v>
      </c>
      <c r="P41" s="155">
        <f>main!O45</f>
        <v>0.69120252132415771</v>
      </c>
      <c r="Q41" s="431">
        <v>1</v>
      </c>
      <c r="R41" s="155">
        <f>main!AH45</f>
        <v>4.5461366529655898</v>
      </c>
      <c r="S41" s="431">
        <v>1</v>
      </c>
      <c r="T41" s="155">
        <f>main!AB45</f>
        <v>5.1202767913001876</v>
      </c>
      <c r="U41" s="431">
        <v>1</v>
      </c>
      <c r="V41" s="155">
        <f>main!AC45</f>
        <v>10.953272779965408</v>
      </c>
      <c r="W41" s="155">
        <f t="shared" ref="W41:W64" si="20">(K41/100)*$I41</f>
        <v>21.475948217930203</v>
      </c>
      <c r="X41" s="155">
        <f t="shared" ref="X41:X64" si="21">(L41/100)*$I41</f>
        <v>2.5770219488998234</v>
      </c>
      <c r="Y41" s="155">
        <f t="shared" ref="Y41:Y64" si="22">(N41/100)*$I41</f>
        <v>3.9191613120284754</v>
      </c>
      <c r="Z41" s="155">
        <f t="shared" ref="Z41:Z64" si="23">(P41/100)*$I41</f>
        <v>0.2040612024184891</v>
      </c>
      <c r="AA41" s="155">
        <f t="shared" ref="AA41:AA64" si="24">(R41/100)*$I41</f>
        <v>1.3421393631286525</v>
      </c>
      <c r="AB41" s="155">
        <f t="shared" ref="AB41:AB64" si="25">(V41/100)*$I41</f>
        <v>3.2336948216212029</v>
      </c>
      <c r="AC41" s="139">
        <f>main!T45</f>
        <v>44222</v>
      </c>
      <c r="AD41" s="139">
        <f>main!U45</f>
        <v>44232</v>
      </c>
      <c r="AE41" s="139">
        <f>main!V45</f>
        <v>44227</v>
      </c>
      <c r="AF41" s="151">
        <f>main!H45</f>
        <v>10</v>
      </c>
      <c r="AG41" s="125">
        <f t="shared" ref="AG41:AG64" si="26">(T41/100)*$I41</f>
        <v>1.5116406646586718</v>
      </c>
      <c r="AH41" s="125">
        <f t="shared" ref="AH41:AH64" si="27">Y41/12.01</f>
        <v>0.32632483863684225</v>
      </c>
      <c r="AI41" s="125">
        <f t="shared" ref="AI41:AI64" si="28">Z41/14.01</f>
        <v>1.4565396318236196E-2</v>
      </c>
      <c r="AJ41" s="125">
        <f t="shared" ref="AJ41:AJ64" si="29">AA41/12.01</f>
        <v>0.11175182041037905</v>
      </c>
      <c r="AK41" s="125">
        <f t="shared" ref="AK41:AK64" si="30">X41/12.01</f>
        <v>0.21457301822646324</v>
      </c>
      <c r="AL41" s="125">
        <f t="shared" ref="AL41:AL64" si="31">AG41/28.09</f>
        <v>5.3814192405079092E-2</v>
      </c>
      <c r="AM41" s="432">
        <f>depths!$B$3</f>
        <v>1992.1</v>
      </c>
      <c r="AN41" s="376"/>
      <c r="AO41" s="155">
        <f t="shared" ref="AO41:AO64" si="32">AH41*1000</f>
        <v>326.32483863684223</v>
      </c>
      <c r="AP41" s="431">
        <v>1</v>
      </c>
      <c r="AQ41" s="155">
        <f t="shared" ref="AQ41:AQ64" si="33">AI41*1000</f>
        <v>14.565396318236196</v>
      </c>
      <c r="AR41" s="431">
        <v>1</v>
      </c>
      <c r="AS41" s="155">
        <f t="shared" ref="AS41:AS64" si="34">AJ41*1000</f>
        <v>111.75182041037905</v>
      </c>
      <c r="AT41" s="431">
        <v>1</v>
      </c>
      <c r="AU41" s="155">
        <f t="shared" ref="AU41:AU64" si="35">AK41*1000</f>
        <v>214.57301822646323</v>
      </c>
      <c r="AV41" s="431">
        <v>1</v>
      </c>
      <c r="AW41" s="155">
        <f t="shared" ref="AW41:AW64" si="36">AL41*1000</f>
        <v>53.814192405079091</v>
      </c>
      <c r="AX41" s="431">
        <v>1</v>
      </c>
      <c r="AY41" s="155">
        <f t="shared" ref="AY41:AY64" si="37">AS41/AQ41</f>
        <v>7.6724187909987265</v>
      </c>
      <c r="AZ41" s="155">
        <f t="shared" ref="AZ41:AZ64" si="38">AU41/AQ41</f>
        <v>14.731697891241936</v>
      </c>
      <c r="BA41" s="155">
        <f>main!R45</f>
        <v>38.700000000000003</v>
      </c>
      <c r="BB41" s="431">
        <v>1</v>
      </c>
      <c r="BC41" s="155">
        <f>main!S45</f>
        <v>8.5</v>
      </c>
      <c r="BD41" s="431">
        <v>1</v>
      </c>
    </row>
    <row r="42" spans="1:56">
      <c r="A42" s="376">
        <f>main!A46</f>
        <v>2020</v>
      </c>
      <c r="B42" s="376" t="str">
        <f>main!B46</f>
        <v>47_2000</v>
      </c>
      <c r="C42" s="376">
        <f>main!C46</f>
        <v>16</v>
      </c>
      <c r="D42" s="376" t="str">
        <f>main!$B$30</f>
        <v>McLane-PARFLUX-Mark78H-21 ; frame# 12419-02, controller# 12419-02 and motor# 12419-02 Cup set ABx21</v>
      </c>
      <c r="E42" s="376">
        <v>2000</v>
      </c>
      <c r="F42" s="233">
        <v>1</v>
      </c>
      <c r="G42" s="151">
        <f>main!E46</f>
        <v>346.71428571428572</v>
      </c>
      <c r="H42" s="125">
        <f>main!I46</f>
        <v>69.342857142857142</v>
      </c>
      <c r="I42" s="155">
        <f>main!J46</f>
        <v>25.327478571428575</v>
      </c>
      <c r="J42" s="431">
        <v>1</v>
      </c>
      <c r="K42" s="155">
        <f>main!AF46</f>
        <v>72.531268687530698</v>
      </c>
      <c r="L42" s="155">
        <f>main!AG46</f>
        <v>8.703442078206475</v>
      </c>
      <c r="M42" s="431">
        <v>1</v>
      </c>
      <c r="N42" s="155">
        <f>main!M46</f>
        <v>13.321050643920898</v>
      </c>
      <c r="O42" s="431">
        <v>1</v>
      </c>
      <c r="P42" s="155">
        <f>main!O46</f>
        <v>0.71226668357849121</v>
      </c>
      <c r="Q42" s="431">
        <v>1</v>
      </c>
      <c r="R42" s="155">
        <f>main!AH46</f>
        <v>4.6176085657144235</v>
      </c>
      <c r="S42" s="431">
        <v>1</v>
      </c>
      <c r="T42" s="155">
        <f>main!AB46</f>
        <v>4.6826600418081226</v>
      </c>
      <c r="U42" s="431">
        <v>1</v>
      </c>
      <c r="V42" s="155">
        <f>main!AC46</f>
        <v>10.017125023576009</v>
      </c>
      <c r="W42" s="155">
        <f t="shared" si="20"/>
        <v>18.370341534419623</v>
      </c>
      <c r="X42" s="155">
        <f t="shared" si="21"/>
        <v>2.2043624273344427</v>
      </c>
      <c r="Y42" s="155">
        <f t="shared" si="22"/>
        <v>3.3738862473282136</v>
      </c>
      <c r="Z42" s="155">
        <f t="shared" si="23"/>
        <v>0.18039919165476734</v>
      </c>
      <c r="AA42" s="155">
        <f t="shared" si="24"/>
        <v>1.169523819993771</v>
      </c>
      <c r="AB42" s="155">
        <f t="shared" si="25"/>
        <v>2.537085193819423</v>
      </c>
      <c r="AC42" s="139">
        <f>main!T46</f>
        <v>44232</v>
      </c>
      <c r="AD42" s="139">
        <f>main!U46</f>
        <v>44242</v>
      </c>
      <c r="AE42" s="139">
        <f>main!V46</f>
        <v>44237</v>
      </c>
      <c r="AF42" s="151">
        <f>main!H46</f>
        <v>10</v>
      </c>
      <c r="AG42" s="125">
        <f t="shared" si="26"/>
        <v>1.1859997186618005</v>
      </c>
      <c r="AH42" s="125">
        <f t="shared" si="27"/>
        <v>0.28092308470676219</v>
      </c>
      <c r="AI42" s="125">
        <f t="shared" si="28"/>
        <v>1.2876459076000523E-2</v>
      </c>
      <c r="AJ42" s="125">
        <f t="shared" si="29"/>
        <v>9.7379169025293172E-2</v>
      </c>
      <c r="AK42" s="125">
        <f t="shared" si="30"/>
        <v>0.18354391568146899</v>
      </c>
      <c r="AL42" s="125">
        <f t="shared" si="31"/>
        <v>4.2221421098675702E-2</v>
      </c>
      <c r="AM42" s="432">
        <f>depths!$B$3</f>
        <v>1992.1</v>
      </c>
      <c r="AN42" s="376"/>
      <c r="AO42" s="155">
        <f t="shared" si="32"/>
        <v>280.92308470676221</v>
      </c>
      <c r="AP42" s="431">
        <v>1</v>
      </c>
      <c r="AQ42" s="155">
        <f t="shared" si="33"/>
        <v>12.876459076000524</v>
      </c>
      <c r="AR42" s="431">
        <v>1</v>
      </c>
      <c r="AS42" s="155">
        <f t="shared" si="34"/>
        <v>97.379169025293166</v>
      </c>
      <c r="AT42" s="431">
        <v>1</v>
      </c>
      <c r="AU42" s="155">
        <f t="shared" si="35"/>
        <v>183.543915681469</v>
      </c>
      <c r="AV42" s="431">
        <v>1</v>
      </c>
      <c r="AW42" s="155">
        <f t="shared" si="36"/>
        <v>42.221421098675698</v>
      </c>
      <c r="AX42" s="431">
        <v>1</v>
      </c>
      <c r="AY42" s="155">
        <f t="shared" si="37"/>
        <v>7.562573565491383</v>
      </c>
      <c r="AZ42" s="155">
        <f t="shared" si="38"/>
        <v>14.254222732984324</v>
      </c>
      <c r="BA42" s="155">
        <f>main!R46</f>
        <v>39.81</v>
      </c>
      <c r="BB42" s="431">
        <v>1</v>
      </c>
      <c r="BC42" s="155">
        <f>main!S46</f>
        <v>8.6</v>
      </c>
      <c r="BD42" s="431">
        <v>1</v>
      </c>
    </row>
    <row r="43" spans="1:56">
      <c r="A43" s="376">
        <f>main!A47</f>
        <v>2020</v>
      </c>
      <c r="B43" s="376" t="str">
        <f>main!B47</f>
        <v>47_2000</v>
      </c>
      <c r="C43" s="376">
        <f>main!C47</f>
        <v>17</v>
      </c>
      <c r="D43" s="376" t="str">
        <f>main!$B$30</f>
        <v>McLane-PARFLUX-Mark78H-21 ; frame# 12419-02, controller# 12419-02 and motor# 12419-02 Cup set ABx21</v>
      </c>
      <c r="E43" s="376">
        <v>2000</v>
      </c>
      <c r="F43" s="233">
        <v>1</v>
      </c>
      <c r="G43" s="151">
        <f>main!E47</f>
        <v>248.08571428571435</v>
      </c>
      <c r="H43" s="125">
        <f>main!I47</f>
        <v>49.617142857142866</v>
      </c>
      <c r="I43" s="155">
        <f>main!J47</f>
        <v>18.122661428571433</v>
      </c>
      <c r="J43" s="431">
        <v>1</v>
      </c>
      <c r="K43" s="155">
        <f>main!AF47</f>
        <v>71.054357565516824</v>
      </c>
      <c r="L43" s="155">
        <f>main!AG47</f>
        <v>8.5262190592560767</v>
      </c>
      <c r="M43" s="431">
        <v>1</v>
      </c>
      <c r="N43" s="155">
        <f>main!M47</f>
        <v>13.42512035369873</v>
      </c>
      <c r="O43" s="431">
        <v>1</v>
      </c>
      <c r="P43" s="155">
        <f>main!O47</f>
        <v>0.72834450006484985</v>
      </c>
      <c r="Q43" s="431">
        <v>1</v>
      </c>
      <c r="R43" s="155">
        <f>main!AH47</f>
        <v>4.8989012944426538</v>
      </c>
      <c r="S43" s="431">
        <v>1</v>
      </c>
      <c r="T43" s="155">
        <f>main!AB47</f>
        <v>4.7950258244882482</v>
      </c>
      <c r="U43" s="431">
        <v>1</v>
      </c>
      <c r="V43" s="155">
        <f>main!AC47</f>
        <v>10.257497393858985</v>
      </c>
      <c r="W43" s="155">
        <f t="shared" si="20"/>
        <v>12.876940651845146</v>
      </c>
      <c r="X43" s="155">
        <f t="shared" si="21"/>
        <v>1.545177812767307</v>
      </c>
      <c r="Y43" s="155">
        <f t="shared" si="22"/>
        <v>2.4329891080790524</v>
      </c>
      <c r="Z43" s="155">
        <f t="shared" si="23"/>
        <v>0.13199540778037397</v>
      </c>
      <c r="AA43" s="155">
        <f t="shared" si="24"/>
        <v>0.88781129531174541</v>
      </c>
      <c r="AB43" s="155">
        <f t="shared" si="25"/>
        <v>1.8589315237336024</v>
      </c>
      <c r="AC43" s="139">
        <f>main!T47</f>
        <v>44242</v>
      </c>
      <c r="AD43" s="139">
        <f>main!U47</f>
        <v>44252</v>
      </c>
      <c r="AE43" s="139">
        <f>main!V47</f>
        <v>44247</v>
      </c>
      <c r="AF43" s="151">
        <f>main!H47</f>
        <v>10</v>
      </c>
      <c r="AG43" s="125">
        <f t="shared" si="26"/>
        <v>0.86898629558457119</v>
      </c>
      <c r="AH43" s="125">
        <f t="shared" si="27"/>
        <v>0.20258027544371796</v>
      </c>
      <c r="AI43" s="125">
        <f t="shared" si="28"/>
        <v>9.4215137601979995E-3</v>
      </c>
      <c r="AJ43" s="125">
        <f t="shared" si="29"/>
        <v>7.3922672382326846E-2</v>
      </c>
      <c r="AK43" s="125">
        <f t="shared" si="30"/>
        <v>0.1286576030613911</v>
      </c>
      <c r="AL43" s="125">
        <f t="shared" si="31"/>
        <v>3.0935788379657214E-2</v>
      </c>
      <c r="AM43" s="432">
        <f>depths!$B$3</f>
        <v>1992.1</v>
      </c>
      <c r="AN43" s="376"/>
      <c r="AO43" s="155">
        <f t="shared" si="32"/>
        <v>202.58027544371797</v>
      </c>
      <c r="AP43" s="431">
        <v>1</v>
      </c>
      <c r="AQ43" s="155">
        <f t="shared" si="33"/>
        <v>9.4215137601979997</v>
      </c>
      <c r="AR43" s="431">
        <v>1</v>
      </c>
      <c r="AS43" s="155">
        <f t="shared" si="34"/>
        <v>73.922672382326851</v>
      </c>
      <c r="AT43" s="431">
        <v>1</v>
      </c>
      <c r="AU43" s="155">
        <f t="shared" si="35"/>
        <v>128.65760306139109</v>
      </c>
      <c r="AV43" s="431">
        <v>1</v>
      </c>
      <c r="AW43" s="155">
        <f t="shared" si="36"/>
        <v>30.935788379657215</v>
      </c>
      <c r="AX43" s="431">
        <v>1</v>
      </c>
      <c r="AY43" s="155">
        <f t="shared" si="37"/>
        <v>7.8461566011419075</v>
      </c>
      <c r="AZ43" s="155">
        <f t="shared" si="38"/>
        <v>13.655725219541287</v>
      </c>
      <c r="BA43" s="155">
        <f>main!R47</f>
        <v>39.99</v>
      </c>
      <c r="BB43" s="431">
        <v>1</v>
      </c>
      <c r="BC43" s="155">
        <f>main!S47</f>
        <v>8.58</v>
      </c>
      <c r="BD43" s="431">
        <v>1</v>
      </c>
    </row>
    <row r="44" spans="1:56">
      <c r="A44" s="376">
        <f>main!A48</f>
        <v>2020</v>
      </c>
      <c r="B44" s="376" t="str">
        <f>main!B48</f>
        <v>47_2000</v>
      </c>
      <c r="C44" s="376">
        <f>main!C48</f>
        <v>18</v>
      </c>
      <c r="D44" s="376" t="str">
        <f>main!$B$30</f>
        <v>McLane-PARFLUX-Mark78H-21 ; frame# 12419-02, controller# 12419-02 and motor# 12419-02 Cup set ABx21</v>
      </c>
      <c r="E44" s="376">
        <v>2000</v>
      </c>
      <c r="F44" s="233">
        <v>1</v>
      </c>
      <c r="G44" s="151">
        <f>main!E48</f>
        <v>213.18571428571428</v>
      </c>
      <c r="H44" s="125">
        <f>main!I48</f>
        <v>42.637142857142855</v>
      </c>
      <c r="I44" s="155">
        <f>main!J48</f>
        <v>15.573216428571431</v>
      </c>
      <c r="J44" s="431">
        <v>1</v>
      </c>
      <c r="K44" s="155">
        <f>main!AF48</f>
        <v>73.102295555709006</v>
      </c>
      <c r="L44" s="155">
        <f>main!AG48</f>
        <v>8.771962860514865</v>
      </c>
      <c r="M44" s="431">
        <v>1</v>
      </c>
      <c r="N44" s="155">
        <f>main!M48</f>
        <v>14.07595157623291</v>
      </c>
      <c r="O44" s="431">
        <v>1</v>
      </c>
      <c r="P44" s="155">
        <f>main!O48</f>
        <v>0.75182080268859863</v>
      </c>
      <c r="Q44" s="431">
        <v>1</v>
      </c>
      <c r="R44" s="155">
        <f>main!AH48</f>
        <v>5.3039887157180452</v>
      </c>
      <c r="S44" s="431">
        <v>1</v>
      </c>
      <c r="T44" s="155">
        <f>main!AB48</f>
        <v>4.1350644209469749</v>
      </c>
      <c r="U44" s="431">
        <v>1</v>
      </c>
      <c r="V44" s="155">
        <f>main!AC48</f>
        <v>8.8457109667035869</v>
      </c>
      <c r="W44" s="155">
        <f t="shared" si="20"/>
        <v>11.384378701144518</v>
      </c>
      <c r="X44" s="155">
        <f t="shared" si="21"/>
        <v>1.3660767613018854</v>
      </c>
      <c r="Y44" s="155">
        <f t="shared" si="22"/>
        <v>2.1920784033476628</v>
      </c>
      <c r="Z44" s="155">
        <f t="shared" si="23"/>
        <v>0.11708268075771845</v>
      </c>
      <c r="AA44" s="155">
        <f t="shared" si="24"/>
        <v>0.82600164204577742</v>
      </c>
      <c r="AB44" s="155">
        <f t="shared" si="25"/>
        <v>1.3775617134906277</v>
      </c>
      <c r="AC44" s="139">
        <f>main!T48</f>
        <v>44252</v>
      </c>
      <c r="AD44" s="139">
        <f>main!U48</f>
        <v>44262</v>
      </c>
      <c r="AE44" s="139">
        <f>main!V48</f>
        <v>44257</v>
      </c>
      <c r="AF44" s="151">
        <f>main!H48</f>
        <v>10</v>
      </c>
      <c r="AG44" s="125">
        <f t="shared" si="26"/>
        <v>0.64396253173492635</v>
      </c>
      <c r="AH44" s="125">
        <f t="shared" si="27"/>
        <v>0.1825210993628362</v>
      </c>
      <c r="AI44" s="125">
        <f t="shared" si="28"/>
        <v>8.3570792832061702E-3</v>
      </c>
      <c r="AJ44" s="125">
        <f t="shared" si="29"/>
        <v>6.8776156706559316E-2</v>
      </c>
      <c r="AK44" s="125">
        <f t="shared" si="30"/>
        <v>0.11374494265627688</v>
      </c>
      <c r="AL44" s="125">
        <f t="shared" si="31"/>
        <v>2.2924974429865658E-2</v>
      </c>
      <c r="AM44" s="432">
        <f>depths!$B$3</f>
        <v>1992.1</v>
      </c>
      <c r="AN44" s="376"/>
      <c r="AO44" s="155">
        <f t="shared" si="32"/>
        <v>182.5210993628362</v>
      </c>
      <c r="AP44" s="431">
        <v>1</v>
      </c>
      <c r="AQ44" s="155">
        <f t="shared" si="33"/>
        <v>8.3570792832061702</v>
      </c>
      <c r="AR44" s="431">
        <v>1</v>
      </c>
      <c r="AS44" s="155">
        <f t="shared" si="34"/>
        <v>68.77615670655932</v>
      </c>
      <c r="AT44" s="431">
        <v>1</v>
      </c>
      <c r="AU44" s="155">
        <f t="shared" si="35"/>
        <v>113.74494265627688</v>
      </c>
      <c r="AV44" s="431">
        <v>1</v>
      </c>
      <c r="AW44" s="155">
        <f t="shared" si="36"/>
        <v>22.924974429865657</v>
      </c>
      <c r="AX44" s="431">
        <v>1</v>
      </c>
      <c r="AY44" s="155">
        <f t="shared" si="37"/>
        <v>8.2296881931905688</v>
      </c>
      <c r="AZ44" s="155">
        <f t="shared" si="38"/>
        <v>13.610609496651675</v>
      </c>
      <c r="BA44" s="155">
        <f>main!R48</f>
        <v>40.450000000000003</v>
      </c>
      <c r="BB44" s="431">
        <v>1</v>
      </c>
      <c r="BC44" s="155">
        <f>main!S48</f>
        <v>8.56</v>
      </c>
      <c r="BD44" s="431">
        <v>1</v>
      </c>
    </row>
    <row r="45" spans="1:56">
      <c r="A45" s="376">
        <f>main!A49</f>
        <v>2020</v>
      </c>
      <c r="B45" s="376" t="str">
        <f>main!B49</f>
        <v>47_2000</v>
      </c>
      <c r="C45" s="376">
        <f>main!C49</f>
        <v>19</v>
      </c>
      <c r="D45" s="376" t="str">
        <f>main!$B$30</f>
        <v>McLane-PARFLUX-Mark78H-21 ; frame# 12419-02, controller# 12419-02 and motor# 12419-02 Cup set ABx21</v>
      </c>
      <c r="E45" s="376">
        <v>2000</v>
      </c>
      <c r="F45" s="233">
        <v>1</v>
      </c>
      <c r="G45" s="151">
        <f>main!E49</f>
        <v>198.44285714285715</v>
      </c>
      <c r="H45" s="125">
        <f>main!I49</f>
        <v>39.688571428571429</v>
      </c>
      <c r="I45" s="155">
        <f>main!J49</f>
        <v>14.496250714285717</v>
      </c>
      <c r="J45" s="431">
        <v>1</v>
      </c>
      <c r="K45" s="155">
        <f>main!AF49</f>
        <v>70.798797854877336</v>
      </c>
      <c r="L45" s="155">
        <f>main!AG49</f>
        <v>8.4955529868252171</v>
      </c>
      <c r="M45" s="431">
        <v>1</v>
      </c>
      <c r="N45" s="155">
        <f>main!M49</f>
        <v>14.142654418945313</v>
      </c>
      <c r="O45" s="431">
        <v>1</v>
      </c>
      <c r="P45" s="155">
        <f>main!O49</f>
        <v>0.76021409034729004</v>
      </c>
      <c r="Q45" s="431">
        <v>1</v>
      </c>
      <c r="R45" s="155">
        <f>main!AH49</f>
        <v>5.6471014321200954</v>
      </c>
      <c r="S45" s="431">
        <v>1</v>
      </c>
      <c r="T45" s="155">
        <f>main!AB49</f>
        <v>4.5011020746242112</v>
      </c>
      <c r="U45" s="431">
        <v>1</v>
      </c>
      <c r="V45" s="155">
        <f>main!AC49</f>
        <v>9.6287370474962213</v>
      </c>
      <c r="W45" s="155">
        <f t="shared" si="20"/>
        <v>10.263171239743357</v>
      </c>
      <c r="X45" s="155">
        <f t="shared" si="21"/>
        <v>1.2315366605351721</v>
      </c>
      <c r="Y45" s="155">
        <f t="shared" si="22"/>
        <v>2.0501546422253205</v>
      </c>
      <c r="Z45" s="155">
        <f t="shared" si="23"/>
        <v>0.11020254050206969</v>
      </c>
      <c r="AA45" s="155">
        <f t="shared" si="24"/>
        <v>0.81861798169014832</v>
      </c>
      <c r="AB45" s="155">
        <f t="shared" si="25"/>
        <v>1.3958058630243646</v>
      </c>
      <c r="AC45" s="139">
        <f>main!T49</f>
        <v>44262</v>
      </c>
      <c r="AD45" s="139">
        <f>main!U49</f>
        <v>44272</v>
      </c>
      <c r="AE45" s="139">
        <f>main!V49</f>
        <v>44267</v>
      </c>
      <c r="AF45" s="151">
        <f>main!H49</f>
        <v>10</v>
      </c>
      <c r="AG45" s="125">
        <f t="shared" si="26"/>
        <v>0.65249104164344141</v>
      </c>
      <c r="AH45" s="125">
        <f t="shared" si="27"/>
        <v>0.17070396687971029</v>
      </c>
      <c r="AI45" s="125">
        <f t="shared" si="28"/>
        <v>7.8659914705260306E-3</v>
      </c>
      <c r="AJ45" s="125">
        <f t="shared" si="29"/>
        <v>6.8161364004175551E-2</v>
      </c>
      <c r="AK45" s="125">
        <f t="shared" si="30"/>
        <v>0.10254260287553472</v>
      </c>
      <c r="AL45" s="125">
        <f t="shared" si="31"/>
        <v>2.3228588168153843E-2</v>
      </c>
      <c r="AM45" s="432">
        <f>depths!$B$3</f>
        <v>1992.1</v>
      </c>
      <c r="AN45" s="376"/>
      <c r="AO45" s="155">
        <f t="shared" si="32"/>
        <v>170.70396687971029</v>
      </c>
      <c r="AP45" s="431">
        <v>1</v>
      </c>
      <c r="AQ45" s="155">
        <f t="shared" si="33"/>
        <v>7.8659914705260308</v>
      </c>
      <c r="AR45" s="431">
        <v>1</v>
      </c>
      <c r="AS45" s="155">
        <f t="shared" si="34"/>
        <v>68.161364004175553</v>
      </c>
      <c r="AT45" s="431">
        <v>1</v>
      </c>
      <c r="AU45" s="155">
        <f t="shared" si="35"/>
        <v>102.54260287553473</v>
      </c>
      <c r="AV45" s="431">
        <v>1</v>
      </c>
      <c r="AW45" s="155">
        <f t="shared" si="36"/>
        <v>23.228588168153841</v>
      </c>
      <c r="AX45" s="431">
        <v>1</v>
      </c>
      <c r="AY45" s="155">
        <f t="shared" si="37"/>
        <v>8.6653239149288481</v>
      </c>
      <c r="AZ45" s="155">
        <f t="shared" si="38"/>
        <v>13.036195533616221</v>
      </c>
      <c r="BA45" s="155">
        <f>main!R49</f>
        <v>40.35</v>
      </c>
      <c r="BB45" s="431">
        <v>1</v>
      </c>
      <c r="BC45" s="155">
        <f>main!S49</f>
        <v>8.64</v>
      </c>
      <c r="BD45" s="431">
        <v>1</v>
      </c>
    </row>
    <row r="46" spans="1:56">
      <c r="A46" s="376">
        <f>main!A50</f>
        <v>2020</v>
      </c>
      <c r="B46" s="376" t="str">
        <f>main!B50</f>
        <v>47_2000</v>
      </c>
      <c r="C46" s="376">
        <f>main!C50</f>
        <v>20</v>
      </c>
      <c r="D46" s="376" t="str">
        <f>main!$B$30</f>
        <v>McLane-PARFLUX-Mark78H-21 ; frame# 12419-02, controller# 12419-02 and motor# 12419-02 Cup set ABx21</v>
      </c>
      <c r="E46" s="376">
        <v>2000</v>
      </c>
      <c r="F46" s="233">
        <v>1</v>
      </c>
      <c r="G46" s="151">
        <f>main!E50</f>
        <v>208.05714285714288</v>
      </c>
      <c r="H46" s="125">
        <f>main!I50</f>
        <v>41.611428571428576</v>
      </c>
      <c r="I46" s="155">
        <f>main!J50</f>
        <v>15.198574285714287</v>
      </c>
      <c r="J46" s="431">
        <v>1</v>
      </c>
      <c r="K46" s="155">
        <f>main!AF50</f>
        <v>63.780126009952184</v>
      </c>
      <c r="L46" s="155">
        <f>main!AG50</f>
        <v>7.6533423792676736</v>
      </c>
      <c r="M46" s="431">
        <v>1</v>
      </c>
      <c r="N46" s="155">
        <f>main!M50</f>
        <v>15.354694366455078</v>
      </c>
      <c r="O46" s="431">
        <v>1</v>
      </c>
      <c r="P46" s="155">
        <f>main!O50</f>
        <v>1.0963776111602783</v>
      </c>
      <c r="Q46" s="431">
        <v>1</v>
      </c>
      <c r="R46" s="155">
        <f>main!AH50</f>
        <v>7.7013519871874045</v>
      </c>
      <c r="S46" s="431">
        <v>1</v>
      </c>
      <c r="T46" s="155">
        <f>main!AB50</f>
        <v>5.7352738346144303</v>
      </c>
      <c r="U46" s="431">
        <v>1</v>
      </c>
      <c r="V46" s="155">
        <f>main!AC50</f>
        <v>12.268871652615918</v>
      </c>
      <c r="W46" s="155">
        <f t="shared" si="20"/>
        <v>9.6936698311447618</v>
      </c>
      <c r="X46" s="155">
        <f t="shared" si="21"/>
        <v>1.1631989268530505</v>
      </c>
      <c r="Y46" s="155">
        <f t="shared" si="22"/>
        <v>2.3336946296300618</v>
      </c>
      <c r="Z46" s="155">
        <f t="shared" si="23"/>
        <v>0.16663376568413465</v>
      </c>
      <c r="AA46" s="155">
        <f t="shared" si="24"/>
        <v>1.1704957027770111</v>
      </c>
      <c r="AB46" s="155">
        <f t="shared" si="25"/>
        <v>1.8646935721417723</v>
      </c>
      <c r="AC46" s="139">
        <f>main!T50</f>
        <v>44272</v>
      </c>
      <c r="AD46" s="139">
        <f>main!U50</f>
        <v>44282</v>
      </c>
      <c r="AE46" s="139">
        <f>main!V50</f>
        <v>44277</v>
      </c>
      <c r="AF46" s="151">
        <f>main!H50</f>
        <v>10</v>
      </c>
      <c r="AG46" s="125">
        <f t="shared" si="26"/>
        <v>0.87167985424300853</v>
      </c>
      <c r="AH46" s="125">
        <f t="shared" si="27"/>
        <v>0.19431262528143728</v>
      </c>
      <c r="AI46" s="125">
        <f t="shared" si="28"/>
        <v>1.1893916180166643E-2</v>
      </c>
      <c r="AJ46" s="125">
        <f t="shared" si="29"/>
        <v>9.7460091821566286E-2</v>
      </c>
      <c r="AK46" s="125">
        <f t="shared" si="30"/>
        <v>9.6852533459870979E-2</v>
      </c>
      <c r="AL46" s="125">
        <f t="shared" si="31"/>
        <v>3.1031678684336365E-2</v>
      </c>
      <c r="AM46" s="432">
        <f>depths!$B$3</f>
        <v>1992.1</v>
      </c>
      <c r="AN46" s="376"/>
      <c r="AO46" s="155">
        <f t="shared" si="32"/>
        <v>194.31262528143728</v>
      </c>
      <c r="AP46" s="431">
        <v>1</v>
      </c>
      <c r="AQ46" s="155">
        <f t="shared" si="33"/>
        <v>11.893916180166643</v>
      </c>
      <c r="AR46" s="431">
        <v>1</v>
      </c>
      <c r="AS46" s="155">
        <f t="shared" si="34"/>
        <v>97.46009182156628</v>
      </c>
      <c r="AT46" s="431">
        <v>1</v>
      </c>
      <c r="AU46" s="155">
        <f t="shared" si="35"/>
        <v>96.852533459870983</v>
      </c>
      <c r="AV46" s="431">
        <v>1</v>
      </c>
      <c r="AW46" s="155">
        <f t="shared" si="36"/>
        <v>31.031678684336367</v>
      </c>
      <c r="AX46" s="431">
        <v>1</v>
      </c>
      <c r="AY46" s="155">
        <f t="shared" si="37"/>
        <v>8.1941128847101723</v>
      </c>
      <c r="AZ46" s="155">
        <f t="shared" si="38"/>
        <v>8.1430314450487415</v>
      </c>
      <c r="BA46" s="155">
        <f>main!R50</f>
        <v>40.17</v>
      </c>
      <c r="BB46" s="431">
        <v>1</v>
      </c>
      <c r="BC46" s="155">
        <f>main!S50</f>
        <v>8.64</v>
      </c>
      <c r="BD46" s="431">
        <v>1</v>
      </c>
    </row>
    <row r="47" spans="1:56" s="433" customFormat="1">
      <c r="A47" s="433">
        <f>main!A51</f>
        <v>2020</v>
      </c>
      <c r="B47" s="433" t="str">
        <f>main!B51</f>
        <v>47_2000</v>
      </c>
      <c r="C47" s="433">
        <f>main!C51</f>
        <v>21</v>
      </c>
      <c r="D47" s="433" t="str">
        <f>main!$B$30</f>
        <v>McLane-PARFLUX-Mark78H-21 ; frame# 12419-02, controller# 12419-02 and motor# 12419-02 Cup set ABx21</v>
      </c>
      <c r="E47" s="433">
        <v>2000</v>
      </c>
      <c r="F47" s="233">
        <v>1</v>
      </c>
      <c r="G47" s="434">
        <f>main!E51</f>
        <v>471.45714285714291</v>
      </c>
      <c r="H47" s="435">
        <f>main!I51</f>
        <v>94.291428571428582</v>
      </c>
      <c r="I47" s="436">
        <f>main!J51</f>
        <v>34.43994428571429</v>
      </c>
      <c r="J47" s="437">
        <v>1</v>
      </c>
      <c r="K47" s="436">
        <f>main!AF51</f>
        <v>61.105419875883626</v>
      </c>
      <c r="L47" s="436">
        <f>main!AG51</f>
        <v>7.3323890809822494</v>
      </c>
      <c r="M47" s="437">
        <v>1</v>
      </c>
      <c r="N47" s="436">
        <f>main!M51</f>
        <v>15.820767402648926</v>
      </c>
      <c r="O47" s="437">
        <v>1</v>
      </c>
      <c r="P47" s="436">
        <f>main!O51</f>
        <v>1.2122112512588501</v>
      </c>
      <c r="Q47" s="437">
        <v>1</v>
      </c>
      <c r="R47" s="436">
        <f>main!AH51</f>
        <v>8.4883783216666764</v>
      </c>
      <c r="S47" s="437">
        <v>1</v>
      </c>
      <c r="T47" s="436">
        <f>main!AB51</f>
        <v>6.2631477858369919</v>
      </c>
      <c r="U47" s="437">
        <v>1</v>
      </c>
      <c r="V47" s="436">
        <f>main!AC51</f>
        <v>13.398097203664824</v>
      </c>
      <c r="W47" s="436">
        <f t="shared" si="20"/>
        <v>21.044672560806106</v>
      </c>
      <c r="X47" s="436">
        <f t="shared" si="21"/>
        <v>2.5252707143020845</v>
      </c>
      <c r="Y47" s="436">
        <f t="shared" si="22"/>
        <v>5.4486634790447379</v>
      </c>
      <c r="Z47" s="436">
        <f t="shared" si="23"/>
        <v>0.417484879558708</v>
      </c>
      <c r="AA47" s="436">
        <f t="shared" si="24"/>
        <v>2.923392764742653</v>
      </c>
      <c r="AB47" s="436">
        <f t="shared" si="25"/>
        <v>4.6142972122880099</v>
      </c>
      <c r="AC47" s="438">
        <f>main!T51</f>
        <v>44282</v>
      </c>
      <c r="AD47" s="438">
        <f>main!U51</f>
        <v>44292</v>
      </c>
      <c r="AE47" s="438">
        <f>main!V51</f>
        <v>44287</v>
      </c>
      <c r="AF47" s="434">
        <f>main!H51</f>
        <v>10</v>
      </c>
      <c r="AG47" s="435">
        <f t="shared" si="26"/>
        <v>2.1570246079742081</v>
      </c>
      <c r="AH47" s="435">
        <f t="shared" si="27"/>
        <v>0.45367722556575668</v>
      </c>
      <c r="AI47" s="435">
        <f t="shared" si="28"/>
        <v>2.9799063494554461E-2</v>
      </c>
      <c r="AJ47" s="435">
        <f t="shared" si="29"/>
        <v>0.24341321937907187</v>
      </c>
      <c r="AK47" s="435">
        <f t="shared" si="30"/>
        <v>0.21026400618668481</v>
      </c>
      <c r="AL47" s="435">
        <f t="shared" si="31"/>
        <v>7.6789768884806264E-2</v>
      </c>
      <c r="AM47" s="432">
        <f>depths!$B$3</f>
        <v>1992.1</v>
      </c>
      <c r="AO47" s="436">
        <f t="shared" si="32"/>
        <v>453.67722556575666</v>
      </c>
      <c r="AP47" s="437">
        <v>1</v>
      </c>
      <c r="AQ47" s="436">
        <f t="shared" si="33"/>
        <v>29.79906349455446</v>
      </c>
      <c r="AR47" s="437">
        <v>1</v>
      </c>
      <c r="AS47" s="436">
        <f t="shared" si="34"/>
        <v>243.41321937907188</v>
      </c>
      <c r="AT47" s="437">
        <v>1</v>
      </c>
      <c r="AU47" s="436">
        <f t="shared" si="35"/>
        <v>210.26400618668481</v>
      </c>
      <c r="AV47" s="437">
        <v>1</v>
      </c>
      <c r="AW47" s="436">
        <f t="shared" si="36"/>
        <v>76.789768884806264</v>
      </c>
      <c r="AX47" s="437">
        <v>1</v>
      </c>
      <c r="AY47" s="436">
        <f t="shared" si="37"/>
        <v>8.1684855439686448</v>
      </c>
      <c r="AZ47" s="436">
        <f t="shared" si="38"/>
        <v>7.0560608800712439</v>
      </c>
      <c r="BA47" s="155">
        <f>main!R51</f>
        <v>40.24</v>
      </c>
      <c r="BB47" s="431">
        <v>1</v>
      </c>
      <c r="BC47" s="155">
        <f>main!S51</f>
        <v>8.56</v>
      </c>
      <c r="BD47" s="431">
        <v>1</v>
      </c>
    </row>
    <row r="48" spans="1:56">
      <c r="A48" s="376">
        <f>main!A55</f>
        <v>2020</v>
      </c>
      <c r="B48" s="376" t="str">
        <f>main!B55</f>
        <v>47_3800</v>
      </c>
      <c r="C48" s="376">
        <v>1</v>
      </c>
      <c r="D48" s="376" t="str">
        <f>main!$B$54</f>
        <v>McLane-PARFLUX-Mark78H-21 ; frame # 12993-01, controller # 12993-01 and motor # 12993-01 Cup set ACx21</v>
      </c>
      <c r="E48" s="376">
        <v>3800</v>
      </c>
      <c r="F48" s="233">
        <v>1</v>
      </c>
      <c r="G48" s="151">
        <f>main!E55</f>
        <v>183.1142857142857</v>
      </c>
      <c r="H48" s="125">
        <f>main!I55</f>
        <v>36.622857142857143</v>
      </c>
      <c r="I48" s="155">
        <f>main!J55</f>
        <v>13.37649857142857</v>
      </c>
      <c r="J48" s="431">
        <v>1</v>
      </c>
      <c r="K48" s="155">
        <f>main!AF55</f>
        <v>68.576369776126299</v>
      </c>
      <c r="L48" s="155">
        <f>main!AG55</f>
        <v>8.2288711211085257</v>
      </c>
      <c r="M48" s="431">
        <v>1</v>
      </c>
      <c r="N48" s="155">
        <f>main!M55</f>
        <v>12.899800300598145</v>
      </c>
      <c r="O48" s="431">
        <v>1</v>
      </c>
      <c r="P48" s="155">
        <f>main!O55</f>
        <v>0.59025824069976807</v>
      </c>
      <c r="Q48" s="431">
        <v>1</v>
      </c>
      <c r="R48" s="155">
        <f>main!AH55</f>
        <v>4.6709291794896188</v>
      </c>
      <c r="S48" s="431">
        <v>1</v>
      </c>
      <c r="T48" s="155">
        <f>main!AB55</f>
        <v>4.751820907246838</v>
      </c>
      <c r="U48" s="431">
        <v>1</v>
      </c>
      <c r="V48" s="155">
        <f>main!AC55</f>
        <v>10.16507363177154</v>
      </c>
      <c r="W48" s="155">
        <f t="shared" si="20"/>
        <v>9.1731171234411075</v>
      </c>
      <c r="X48" s="155">
        <f t="shared" si="21"/>
        <v>1.1007348279597802</v>
      </c>
      <c r="Y48" s="155">
        <f t="shared" si="22"/>
        <v>1.725541602926649</v>
      </c>
      <c r="Z48" s="155">
        <f t="shared" si="23"/>
        <v>7.8955885134943879E-2</v>
      </c>
      <c r="AA48" s="155">
        <f t="shared" si="24"/>
        <v>0.62480677496686909</v>
      </c>
      <c r="AB48" s="155">
        <f t="shared" si="25"/>
        <v>1.3597309291385824</v>
      </c>
      <c r="AC48" s="139">
        <f>main!T55</f>
        <v>44082</v>
      </c>
      <c r="AD48" s="139">
        <f>main!U55</f>
        <v>44092</v>
      </c>
      <c r="AE48" s="139">
        <f>main!V55</f>
        <v>44087</v>
      </c>
      <c r="AF48" s="151">
        <f>main!H55</f>
        <v>10</v>
      </c>
      <c r="AG48" s="125">
        <f t="shared" si="26"/>
        <v>0.63562725577471735</v>
      </c>
      <c r="AH48" s="125">
        <f t="shared" si="27"/>
        <v>0.1436754040738259</v>
      </c>
      <c r="AI48" s="125">
        <f t="shared" si="28"/>
        <v>5.6356805949281854E-3</v>
      </c>
      <c r="AJ48" s="125">
        <f t="shared" si="29"/>
        <v>5.2023878015559459E-2</v>
      </c>
      <c r="AK48" s="125">
        <f t="shared" si="30"/>
        <v>9.1651526058266458E-2</v>
      </c>
      <c r="AL48" s="125">
        <f t="shared" si="31"/>
        <v>2.2628239792620766E-2</v>
      </c>
      <c r="AM48" s="432">
        <f>depths!$B$4</f>
        <v>3854.6</v>
      </c>
      <c r="AN48" s="376"/>
      <c r="AO48" s="155">
        <f t="shared" si="32"/>
        <v>143.67540407382589</v>
      </c>
      <c r="AP48" s="431">
        <v>1</v>
      </c>
      <c r="AQ48" s="155">
        <f t="shared" si="33"/>
        <v>5.6356805949281856</v>
      </c>
      <c r="AR48" s="431">
        <v>1</v>
      </c>
      <c r="AS48" s="155">
        <f t="shared" si="34"/>
        <v>52.023878015559461</v>
      </c>
      <c r="AT48" s="431">
        <v>1</v>
      </c>
      <c r="AU48" s="155">
        <f t="shared" si="35"/>
        <v>91.651526058266455</v>
      </c>
      <c r="AV48" s="431">
        <v>1</v>
      </c>
      <c r="AW48" s="155">
        <f t="shared" si="36"/>
        <v>22.628239792620764</v>
      </c>
      <c r="AX48" s="431">
        <v>1</v>
      </c>
      <c r="AY48" s="155">
        <f t="shared" si="37"/>
        <v>9.231161549924991</v>
      </c>
      <c r="AZ48" s="155">
        <f t="shared" si="38"/>
        <v>16.262725417893268</v>
      </c>
      <c r="BA48" s="155">
        <f>main!R55</f>
        <v>40.659999999999997</v>
      </c>
      <c r="BB48" s="431">
        <v>1</v>
      </c>
      <c r="BC48" s="155">
        <f>main!S55</f>
        <v>8.57</v>
      </c>
      <c r="BD48" s="431">
        <v>1</v>
      </c>
    </row>
    <row r="49" spans="1:56">
      <c r="A49" s="376">
        <f>main!A56</f>
        <v>2020</v>
      </c>
      <c r="B49" s="376" t="str">
        <f>main!B56</f>
        <v>47_3800</v>
      </c>
      <c r="C49" s="376">
        <f>main!C56</f>
        <v>2</v>
      </c>
      <c r="D49" s="376" t="str">
        <f>main!$B$54</f>
        <v>McLane-PARFLUX-Mark78H-21 ; frame # 12993-01, controller # 12993-01 and motor # 12993-01 Cup set ACx21</v>
      </c>
      <c r="E49" s="376">
        <v>3800</v>
      </c>
      <c r="F49" s="233">
        <v>1</v>
      </c>
      <c r="G49" s="151">
        <f>main!E56</f>
        <v>182.27142857142854</v>
      </c>
      <c r="H49" s="125">
        <f>main!I56</f>
        <v>36.45428571428571</v>
      </c>
      <c r="I49" s="155">
        <f>main!J56</f>
        <v>13.314927857142857</v>
      </c>
      <c r="J49" s="431">
        <v>1</v>
      </c>
      <c r="K49" s="155">
        <f>main!AF56</f>
        <v>68.21062326798419</v>
      </c>
      <c r="L49" s="155">
        <f>main!AG56</f>
        <v>8.1849831041673795</v>
      </c>
      <c r="M49" s="431">
        <v>1</v>
      </c>
      <c r="N49" s="155">
        <f>main!M56</f>
        <v>13.168676376342773</v>
      </c>
      <c r="O49" s="431">
        <v>1</v>
      </c>
      <c r="P49" s="155">
        <f>main!O56</f>
        <v>0.7134089469909668</v>
      </c>
      <c r="Q49" s="431">
        <v>1</v>
      </c>
      <c r="R49" s="155">
        <f>main!AH56</f>
        <v>4.9836932721753939</v>
      </c>
      <c r="S49" s="431">
        <v>3</v>
      </c>
      <c r="T49" s="155">
        <f>main!AB56</f>
        <v>5.0364600465203715</v>
      </c>
      <c r="U49" s="431">
        <v>1</v>
      </c>
      <c r="V49" s="155">
        <f>main!AC56</f>
        <v>10.773972381467036</v>
      </c>
      <c r="W49" s="155">
        <f t="shared" si="20"/>
        <v>9.0821952790395954</v>
      </c>
      <c r="X49" s="155">
        <f t="shared" si="21"/>
        <v>1.0898245954392187</v>
      </c>
      <c r="Y49" s="155">
        <f t="shared" si="22"/>
        <v>1.7533997592506543</v>
      </c>
      <c r="Z49" s="155">
        <f t="shared" si="23"/>
        <v>9.4989886618249753E-2</v>
      </c>
      <c r="AA49" s="155">
        <f t="shared" si="24"/>
        <v>0.663575163811436</v>
      </c>
      <c r="AB49" s="155">
        <f t="shared" si="25"/>
        <v>1.4345466499408321</v>
      </c>
      <c r="AC49" s="139">
        <f>main!T56</f>
        <v>44092</v>
      </c>
      <c r="AD49" s="139">
        <f>main!U56</f>
        <v>44102</v>
      </c>
      <c r="AE49" s="139">
        <f>main!V56</f>
        <v>44097</v>
      </c>
      <c r="AF49" s="151">
        <f>main!H56</f>
        <v>10</v>
      </c>
      <c r="AG49" s="125">
        <f t="shared" si="26"/>
        <v>0.67060102174801106</v>
      </c>
      <c r="AH49" s="125">
        <f t="shared" si="27"/>
        <v>0.14599498411745665</v>
      </c>
      <c r="AI49" s="125">
        <f t="shared" si="28"/>
        <v>6.7801489377765705E-3</v>
      </c>
      <c r="AJ49" s="125">
        <f t="shared" si="29"/>
        <v>5.5251887078387678E-2</v>
      </c>
      <c r="AK49" s="125">
        <f t="shared" si="30"/>
        <v>9.0743097039069007E-2</v>
      </c>
      <c r="AL49" s="125">
        <f t="shared" si="31"/>
        <v>2.3873300881025669E-2</v>
      </c>
      <c r="AM49" s="432">
        <f>depths!$B$4</f>
        <v>3854.6</v>
      </c>
      <c r="AN49" s="376"/>
      <c r="AO49" s="155">
        <f t="shared" si="32"/>
        <v>145.99498411745665</v>
      </c>
      <c r="AP49" s="431">
        <v>1</v>
      </c>
      <c r="AQ49" s="155">
        <f t="shared" si="33"/>
        <v>6.7801489377765707</v>
      </c>
      <c r="AR49" s="431">
        <v>1</v>
      </c>
      <c r="AS49" s="155">
        <f t="shared" si="34"/>
        <v>55.251887078387675</v>
      </c>
      <c r="AT49" s="431">
        <v>3</v>
      </c>
      <c r="AU49" s="155">
        <f t="shared" si="35"/>
        <v>90.743097039069013</v>
      </c>
      <c r="AV49" s="431">
        <v>1</v>
      </c>
      <c r="AW49" s="155">
        <f t="shared" si="36"/>
        <v>23.873300881025671</v>
      </c>
      <c r="AX49" s="431">
        <v>1</v>
      </c>
      <c r="AY49" s="155">
        <f t="shared" si="37"/>
        <v>8.1490668693933657</v>
      </c>
      <c r="AZ49" s="155">
        <f t="shared" si="38"/>
        <v>13.383643614888879</v>
      </c>
      <c r="BA49" s="155">
        <f>main!R56</f>
        <v>40.57</v>
      </c>
      <c r="BB49" s="431">
        <v>1</v>
      </c>
      <c r="BC49" s="155">
        <f>main!S56</f>
        <v>8.58</v>
      </c>
      <c r="BD49" s="431">
        <v>1</v>
      </c>
    </row>
    <row r="50" spans="1:56">
      <c r="A50" s="376">
        <f>main!A57</f>
        <v>2020</v>
      </c>
      <c r="B50" s="376" t="str">
        <f>main!B57</f>
        <v>47_3800</v>
      </c>
      <c r="C50" s="376">
        <f>main!C57</f>
        <v>3</v>
      </c>
      <c r="D50" s="376" t="str">
        <f>main!$B$54</f>
        <v>McLane-PARFLUX-Mark78H-21 ; frame # 12993-01, controller # 12993-01 and motor # 12993-01 Cup set ACx21</v>
      </c>
      <c r="E50" s="376">
        <v>3800</v>
      </c>
      <c r="F50" s="233">
        <v>1</v>
      </c>
      <c r="G50" s="151">
        <f>main!E57</f>
        <v>251.5</v>
      </c>
      <c r="H50" s="125">
        <f>main!I57</f>
        <v>50.3</v>
      </c>
      <c r="I50" s="155">
        <f>main!J57</f>
        <v>18.372075000000002</v>
      </c>
      <c r="J50" s="431">
        <v>1</v>
      </c>
      <c r="K50" s="155">
        <f>main!AF57</f>
        <v>70.547549325549454</v>
      </c>
      <c r="L50" s="155">
        <f>main!AG57</f>
        <v>8.465404237715914</v>
      </c>
      <c r="M50" s="431">
        <v>1</v>
      </c>
      <c r="N50" s="155">
        <f>main!M57</f>
        <v>12.728379249572754</v>
      </c>
      <c r="O50" s="431">
        <v>1</v>
      </c>
      <c r="P50" s="155">
        <f>main!O57</f>
        <v>0.5815805196762085</v>
      </c>
      <c r="Q50" s="431">
        <v>1</v>
      </c>
      <c r="R50" s="155">
        <f>main!AH57</f>
        <v>4.2629750118568399</v>
      </c>
      <c r="S50" s="431">
        <v>1</v>
      </c>
      <c r="T50" s="155">
        <f>main!AB57</f>
        <v>5.0327405447628504</v>
      </c>
      <c r="U50" s="431">
        <v>1</v>
      </c>
      <c r="V50" s="155">
        <f>main!AC57</f>
        <v>10.76601564025631</v>
      </c>
      <c r="W50" s="155">
        <f t="shared" si="20"/>
        <v>12.961048672751941</v>
      </c>
      <c r="X50" s="155">
        <f t="shared" si="21"/>
        <v>1.5552704156063462</v>
      </c>
      <c r="Y50" s="155">
        <f t="shared" si="22"/>
        <v>2.3384673820159438</v>
      </c>
      <c r="Z50" s="155">
        <f t="shared" si="23"/>
        <v>0.1068484092603028</v>
      </c>
      <c r="AA50" s="155">
        <f t="shared" si="24"/>
        <v>0.78319696640959757</v>
      </c>
      <c r="AB50" s="155">
        <f t="shared" si="25"/>
        <v>1.9779404679396198</v>
      </c>
      <c r="AC50" s="139">
        <f>main!T57</f>
        <v>44102</v>
      </c>
      <c r="AD50" s="139">
        <f>main!U57</f>
        <v>44112</v>
      </c>
      <c r="AE50" s="139">
        <f>main!V57</f>
        <v>44107</v>
      </c>
      <c r="AF50" s="151">
        <f>main!H57</f>
        <v>10</v>
      </c>
      <c r="AG50" s="125">
        <f t="shared" si="26"/>
        <v>0.92461886743923949</v>
      </c>
      <c r="AH50" s="125">
        <f t="shared" si="27"/>
        <v>0.19471002348176053</v>
      </c>
      <c r="AI50" s="125">
        <f t="shared" si="28"/>
        <v>7.6265816745398141E-3</v>
      </c>
      <c r="AJ50" s="125">
        <f t="shared" si="29"/>
        <v>6.521207047540363E-2</v>
      </c>
      <c r="AK50" s="125">
        <f t="shared" si="30"/>
        <v>0.12949795300635689</v>
      </c>
      <c r="AL50" s="125">
        <f t="shared" si="31"/>
        <v>3.2916300015636862E-2</v>
      </c>
      <c r="AM50" s="432">
        <f>depths!$B$4</f>
        <v>3854.6</v>
      </c>
      <c r="AN50" s="376"/>
      <c r="AO50" s="155">
        <f t="shared" si="32"/>
        <v>194.71002348176054</v>
      </c>
      <c r="AP50" s="431">
        <v>1</v>
      </c>
      <c r="AQ50" s="155">
        <f t="shared" si="33"/>
        <v>7.6265816745398141</v>
      </c>
      <c r="AR50" s="431">
        <v>1</v>
      </c>
      <c r="AS50" s="155">
        <f t="shared" si="34"/>
        <v>65.212070475403635</v>
      </c>
      <c r="AT50" s="431">
        <v>1</v>
      </c>
      <c r="AU50" s="155">
        <f t="shared" si="35"/>
        <v>129.49795300635688</v>
      </c>
      <c r="AV50" s="431">
        <v>1</v>
      </c>
      <c r="AW50" s="155">
        <f t="shared" si="36"/>
        <v>32.916300015636864</v>
      </c>
      <c r="AX50" s="431">
        <v>1</v>
      </c>
      <c r="AY50" s="155">
        <f t="shared" si="37"/>
        <v>8.5506290050107552</v>
      </c>
      <c r="AZ50" s="155">
        <f t="shared" si="38"/>
        <v>16.979815929680022</v>
      </c>
      <c r="BA50" s="155">
        <f>main!R57</f>
        <v>40.594999999999999</v>
      </c>
      <c r="BB50" s="431">
        <v>1</v>
      </c>
      <c r="BC50" s="155">
        <f>main!S57</f>
        <v>8.625</v>
      </c>
      <c r="BD50" s="431">
        <v>1</v>
      </c>
    </row>
    <row r="51" spans="1:56">
      <c r="A51" s="376">
        <f>main!A58</f>
        <v>2020</v>
      </c>
      <c r="B51" s="376" t="str">
        <f>main!B58</f>
        <v>47_3800</v>
      </c>
      <c r="C51" s="376">
        <f>main!C58</f>
        <v>4</v>
      </c>
      <c r="D51" s="376" t="str">
        <f>main!$B$54</f>
        <v>McLane-PARFLUX-Mark78H-21 ; frame # 12993-01, controller # 12993-01 and motor # 12993-01 Cup set ACx21</v>
      </c>
      <c r="E51" s="376">
        <v>3800</v>
      </c>
      <c r="F51" s="233">
        <v>1</v>
      </c>
      <c r="G51" s="151">
        <f>main!E58</f>
        <v>255.87142857142857</v>
      </c>
      <c r="H51" s="125">
        <f>main!I58</f>
        <v>51.174285714285716</v>
      </c>
      <c r="I51" s="155">
        <f>main!J58</f>
        <v>18.691407857142856</v>
      </c>
      <c r="J51" s="431">
        <v>1</v>
      </c>
      <c r="K51" s="155">
        <f>main!AF58</f>
        <v>72.342737446932716</v>
      </c>
      <c r="L51" s="155">
        <f>main!AG58</f>
        <v>8.6808191355478286</v>
      </c>
      <c r="M51" s="431">
        <v>1</v>
      </c>
      <c r="N51" s="155">
        <f>main!M58</f>
        <v>13.007413864135742</v>
      </c>
      <c r="O51" s="431">
        <v>1</v>
      </c>
      <c r="P51" s="155">
        <f>main!O58</f>
        <v>0.59120053052902222</v>
      </c>
      <c r="Q51" s="431">
        <v>1</v>
      </c>
      <c r="R51" s="155">
        <f>main!AH58</f>
        <v>4.3265947285879136</v>
      </c>
      <c r="S51" s="431">
        <v>1</v>
      </c>
      <c r="T51" s="155">
        <f>main!AB58</f>
        <v>3.9334797827984236</v>
      </c>
      <c r="U51" s="431">
        <v>1</v>
      </c>
      <c r="V51" s="155">
        <f>main!AC58</f>
        <v>8.4144820273534098</v>
      </c>
      <c r="W51" s="155">
        <f t="shared" si="20"/>
        <v>13.521876111228208</v>
      </c>
      <c r="X51" s="155">
        <f t="shared" si="21"/>
        <v>1.6225673099661475</v>
      </c>
      <c r="Y51" s="155">
        <f t="shared" si="22"/>
        <v>2.431268777012157</v>
      </c>
      <c r="Z51" s="155">
        <f t="shared" si="23"/>
        <v>0.11050370241477192</v>
      </c>
      <c r="AA51" s="155">
        <f t="shared" si="24"/>
        <v>0.80870146704600998</v>
      </c>
      <c r="AB51" s="155">
        <f t="shared" si="25"/>
        <v>1.5727851547986087</v>
      </c>
      <c r="AC51" s="139">
        <f>main!T58</f>
        <v>44112</v>
      </c>
      <c r="AD51" s="139">
        <f>main!U58</f>
        <v>44122</v>
      </c>
      <c r="AE51" s="139">
        <f>main!V58</f>
        <v>44117</v>
      </c>
      <c r="AF51" s="151">
        <f>main!H58</f>
        <v>10</v>
      </c>
      <c r="AG51" s="125">
        <f t="shared" si="26"/>
        <v>0.7352227491811103</v>
      </c>
      <c r="AH51" s="125">
        <f t="shared" si="27"/>
        <v>0.20243703388943857</v>
      </c>
      <c r="AI51" s="125">
        <f t="shared" si="28"/>
        <v>7.8874876812827927E-3</v>
      </c>
      <c r="AJ51" s="125">
        <f t="shared" si="29"/>
        <v>6.7335675857286434E-2</v>
      </c>
      <c r="AK51" s="125">
        <f t="shared" si="30"/>
        <v>0.13510135803215217</v>
      </c>
      <c r="AL51" s="125">
        <f t="shared" si="31"/>
        <v>2.6173825175546825E-2</v>
      </c>
      <c r="AM51" s="432">
        <f>depths!$B$4</f>
        <v>3854.6</v>
      </c>
      <c r="AN51" s="376"/>
      <c r="AO51" s="155">
        <f t="shared" si="32"/>
        <v>202.43703388943857</v>
      </c>
      <c r="AP51" s="431">
        <v>1</v>
      </c>
      <c r="AQ51" s="155">
        <f t="shared" si="33"/>
        <v>7.887487681282793</v>
      </c>
      <c r="AR51" s="431">
        <v>1</v>
      </c>
      <c r="AS51" s="155">
        <f t="shared" si="34"/>
        <v>67.335675857286432</v>
      </c>
      <c r="AT51" s="431">
        <v>1</v>
      </c>
      <c r="AU51" s="155">
        <f t="shared" si="35"/>
        <v>135.10135803215218</v>
      </c>
      <c r="AV51" s="431">
        <v>1</v>
      </c>
      <c r="AW51" s="155">
        <f t="shared" si="36"/>
        <v>26.173825175546824</v>
      </c>
      <c r="AX51" s="431">
        <v>1</v>
      </c>
      <c r="AY51" s="155">
        <f t="shared" si="37"/>
        <v>8.5370245353378724</v>
      </c>
      <c r="AZ51" s="155">
        <f t="shared" si="38"/>
        <v>17.128566597035846</v>
      </c>
      <c r="BA51" s="155">
        <f>main!R58</f>
        <v>40.380000000000003</v>
      </c>
      <c r="BB51" s="431">
        <v>1</v>
      </c>
      <c r="BC51" s="155">
        <f>main!S58</f>
        <v>8.59</v>
      </c>
      <c r="BD51" s="431">
        <v>1</v>
      </c>
    </row>
    <row r="52" spans="1:56">
      <c r="A52" s="376">
        <f>main!A59</f>
        <v>2020</v>
      </c>
      <c r="B52" s="376" t="str">
        <f>main!B59</f>
        <v>47_3800</v>
      </c>
      <c r="C52" s="376">
        <f>main!C59</f>
        <v>5</v>
      </c>
      <c r="D52" s="376" t="str">
        <f>main!$B$54</f>
        <v>McLane-PARFLUX-Mark78H-21 ; frame # 12993-01, controller # 12993-01 and motor # 12993-01 Cup set ACx21</v>
      </c>
      <c r="E52" s="376">
        <v>3800</v>
      </c>
      <c r="F52" s="233">
        <v>1</v>
      </c>
      <c r="G52" s="151">
        <f>main!E59</f>
        <v>321.52857142857147</v>
      </c>
      <c r="H52" s="125">
        <f>main!I59</f>
        <v>64.305714285714288</v>
      </c>
      <c r="I52" s="155">
        <f>main!J59</f>
        <v>23.487662142857147</v>
      </c>
      <c r="J52" s="431">
        <v>1</v>
      </c>
      <c r="K52" s="155">
        <f>main!AF59</f>
        <v>70.491654966838951</v>
      </c>
      <c r="L52" s="155">
        <f>main!AG59</f>
        <v>8.4586971536908013</v>
      </c>
      <c r="M52" s="431">
        <v>1</v>
      </c>
      <c r="N52" s="155">
        <f>main!M59</f>
        <v>13.373337745666504</v>
      </c>
      <c r="O52" s="431">
        <v>1</v>
      </c>
      <c r="P52" s="155">
        <f>main!O59</f>
        <v>0.64371716976165771</v>
      </c>
      <c r="Q52" s="431">
        <v>1</v>
      </c>
      <c r="R52" s="155">
        <f>main!AH59</f>
        <v>4.9146405919757026</v>
      </c>
      <c r="S52" s="431">
        <v>1</v>
      </c>
      <c r="T52" s="155">
        <f>main!AB59</f>
        <v>4.3524597989431113</v>
      </c>
      <c r="U52" s="431">
        <v>1</v>
      </c>
      <c r="V52" s="155">
        <f>main!AC59</f>
        <v>9.3107621686896245</v>
      </c>
      <c r="W52" s="155">
        <f t="shared" si="20"/>
        <v>16.55684175751971</v>
      </c>
      <c r="X52" s="155">
        <f t="shared" si="21"/>
        <v>1.9867502091463694</v>
      </c>
      <c r="Y52" s="155">
        <f t="shared" si="22"/>
        <v>3.1410843869253364</v>
      </c>
      <c r="Z52" s="155">
        <f t="shared" si="23"/>
        <v>0.15119411398918037</v>
      </c>
      <c r="AA52" s="155">
        <f t="shared" si="24"/>
        <v>1.1543341777789675</v>
      </c>
      <c r="AB52" s="155">
        <f t="shared" si="25"/>
        <v>2.1868803611067782</v>
      </c>
      <c r="AC52" s="139">
        <f>main!T59</f>
        <v>44122</v>
      </c>
      <c r="AD52" s="139">
        <f>main!U59</f>
        <v>44132</v>
      </c>
      <c r="AE52" s="139">
        <f>main!V59</f>
        <v>44127</v>
      </c>
      <c r="AF52" s="151">
        <f>main!H59</f>
        <v>10</v>
      </c>
      <c r="AG52" s="125">
        <f t="shared" si="26"/>
        <v>1.0222910524794373</v>
      </c>
      <c r="AH52" s="125">
        <f t="shared" si="27"/>
        <v>0.2615390830079381</v>
      </c>
      <c r="AI52" s="125">
        <f t="shared" si="28"/>
        <v>1.0791871091304809E-2</v>
      </c>
      <c r="AJ52" s="125">
        <f t="shared" si="29"/>
        <v>9.6114419465359494E-2</v>
      </c>
      <c r="AK52" s="125">
        <f t="shared" si="30"/>
        <v>0.16542466354257862</v>
      </c>
      <c r="AL52" s="125">
        <f t="shared" si="31"/>
        <v>3.6393415894604389E-2</v>
      </c>
      <c r="AM52" s="432">
        <f>depths!$B$4</f>
        <v>3854.6</v>
      </c>
      <c r="AN52" s="376"/>
      <c r="AO52" s="155">
        <f t="shared" si="32"/>
        <v>261.53908300793807</v>
      </c>
      <c r="AP52" s="431">
        <v>1</v>
      </c>
      <c r="AQ52" s="155">
        <f t="shared" si="33"/>
        <v>10.791871091304809</v>
      </c>
      <c r="AR52" s="431">
        <v>1</v>
      </c>
      <c r="AS52" s="155">
        <f t="shared" si="34"/>
        <v>96.114419465359489</v>
      </c>
      <c r="AT52" s="431">
        <v>1</v>
      </c>
      <c r="AU52" s="155">
        <f t="shared" si="35"/>
        <v>165.42466354257863</v>
      </c>
      <c r="AV52" s="431">
        <v>1</v>
      </c>
      <c r="AW52" s="155">
        <f t="shared" si="36"/>
        <v>36.393415894604388</v>
      </c>
      <c r="AX52" s="431">
        <v>1</v>
      </c>
      <c r="AY52" s="155">
        <f t="shared" si="37"/>
        <v>8.9061867633686322</v>
      </c>
      <c r="AZ52" s="155">
        <f t="shared" si="38"/>
        <v>15.328635983788208</v>
      </c>
      <c r="BA52" s="155">
        <f>main!R59</f>
        <v>40.57</v>
      </c>
      <c r="BB52" s="431">
        <v>1</v>
      </c>
      <c r="BC52" s="155">
        <f>main!S59</f>
        <v>8.6</v>
      </c>
      <c r="BD52" s="431">
        <v>1</v>
      </c>
    </row>
    <row r="53" spans="1:56">
      <c r="A53" s="376">
        <f>main!A60</f>
        <v>2020</v>
      </c>
      <c r="B53" s="376" t="str">
        <f>main!B60</f>
        <v>47_3800</v>
      </c>
      <c r="C53" s="376">
        <f>main!C60</f>
        <v>6</v>
      </c>
      <c r="D53" s="376" t="str">
        <f>main!$B$54</f>
        <v>McLane-PARFLUX-Mark78H-21 ; frame # 12993-01, controller # 12993-01 and motor # 12993-01 Cup set ACx21</v>
      </c>
      <c r="E53" s="376">
        <v>3800</v>
      </c>
      <c r="F53" s="233">
        <v>1</v>
      </c>
      <c r="G53" s="151">
        <f>main!E60</f>
        <v>326.28571428571428</v>
      </c>
      <c r="H53" s="125">
        <f>main!I60</f>
        <v>65.257142857142853</v>
      </c>
      <c r="I53" s="155">
        <f>main!J60</f>
        <v>23.835171428571428</v>
      </c>
      <c r="J53" s="431">
        <v>1</v>
      </c>
      <c r="K53" s="155">
        <f>main!AF60</f>
        <v>72.974725773626474</v>
      </c>
      <c r="L53" s="155">
        <f>main!AG60</f>
        <v>8.7566550321895669</v>
      </c>
      <c r="M53" s="431">
        <v>1</v>
      </c>
      <c r="N53" s="155">
        <f>main!M60</f>
        <v>13.315540313720703</v>
      </c>
      <c r="O53" s="431">
        <v>1</v>
      </c>
      <c r="P53" s="155">
        <f>main!O60</f>
        <v>0.62657523155212402</v>
      </c>
      <c r="Q53" s="431">
        <v>1</v>
      </c>
      <c r="R53" s="155">
        <f>main!AH60</f>
        <v>4.5588852815311363</v>
      </c>
      <c r="S53" s="431">
        <v>1</v>
      </c>
      <c r="T53" s="155">
        <f>main!AB60</f>
        <v>4.131922952353535</v>
      </c>
      <c r="U53" s="431">
        <v>1</v>
      </c>
      <c r="V53" s="155">
        <f>main!AC60</f>
        <v>8.8389907514034842</v>
      </c>
      <c r="W53" s="155">
        <f t="shared" si="20"/>
        <v>17.393650987673766</v>
      </c>
      <c r="X53" s="155">
        <f t="shared" si="21"/>
        <v>2.08716373833101</v>
      </c>
      <c r="Y53" s="155">
        <f t="shared" si="22"/>
        <v>3.1737818604158674</v>
      </c>
      <c r="Z53" s="155">
        <f t="shared" si="23"/>
        <v>0.14934528056941715</v>
      </c>
      <c r="AA53" s="155">
        <f t="shared" si="24"/>
        <v>1.0866181220848574</v>
      </c>
      <c r="AB53" s="155">
        <f t="shared" si="25"/>
        <v>2.1067885981525944</v>
      </c>
      <c r="AC53" s="139">
        <f>main!T60</f>
        <v>44132</v>
      </c>
      <c r="AD53" s="139">
        <f>main!U60</f>
        <v>44142</v>
      </c>
      <c r="AE53" s="139">
        <f>main!V60</f>
        <v>44137</v>
      </c>
      <c r="AF53" s="151">
        <f>main!H60</f>
        <v>10</v>
      </c>
      <c r="AG53" s="125">
        <f t="shared" si="26"/>
        <v>0.98485091898995492</v>
      </c>
      <c r="AH53" s="125">
        <f t="shared" si="27"/>
        <v>0.26426160369824042</v>
      </c>
      <c r="AI53" s="125">
        <f t="shared" si="28"/>
        <v>1.0659905822228205E-2</v>
      </c>
      <c r="AJ53" s="125">
        <f t="shared" si="29"/>
        <v>9.0476113412560982E-2</v>
      </c>
      <c r="AK53" s="125">
        <f t="shared" si="30"/>
        <v>0.17378549028567944</v>
      </c>
      <c r="AL53" s="125">
        <f t="shared" si="31"/>
        <v>3.5060552473832503E-2</v>
      </c>
      <c r="AM53" s="432">
        <f>depths!$B$4</f>
        <v>3854.6</v>
      </c>
      <c r="AN53" s="376"/>
      <c r="AO53" s="155">
        <f t="shared" si="32"/>
        <v>264.26160369824044</v>
      </c>
      <c r="AP53" s="431">
        <v>1</v>
      </c>
      <c r="AQ53" s="155">
        <f t="shared" si="33"/>
        <v>10.659905822228204</v>
      </c>
      <c r="AR53" s="431">
        <v>1</v>
      </c>
      <c r="AS53" s="155">
        <f t="shared" si="34"/>
        <v>90.476113412560977</v>
      </c>
      <c r="AT53" s="431">
        <v>1</v>
      </c>
      <c r="AU53" s="155">
        <f t="shared" si="35"/>
        <v>173.78549028567943</v>
      </c>
      <c r="AV53" s="431">
        <v>1</v>
      </c>
      <c r="AW53" s="155">
        <f t="shared" si="36"/>
        <v>35.060552473832502</v>
      </c>
      <c r="AX53" s="431">
        <v>1</v>
      </c>
      <c r="AY53" s="155">
        <f t="shared" si="37"/>
        <v>8.4875152671516805</v>
      </c>
      <c r="AZ53" s="155">
        <f t="shared" si="38"/>
        <v>16.302722855515213</v>
      </c>
      <c r="BA53" s="155">
        <f>main!R60</f>
        <v>40.479999999999997</v>
      </c>
      <c r="BB53" s="431">
        <v>1</v>
      </c>
      <c r="BC53" s="155">
        <f>main!S60</f>
        <v>8.61</v>
      </c>
      <c r="BD53" s="431">
        <v>1</v>
      </c>
    </row>
    <row r="54" spans="1:56">
      <c r="A54" s="376">
        <f>main!A61</f>
        <v>2020</v>
      </c>
      <c r="B54" s="376" t="str">
        <f>main!B61</f>
        <v>47_3800</v>
      </c>
      <c r="C54" s="376">
        <f>main!C61</f>
        <v>7</v>
      </c>
      <c r="D54" s="376" t="str">
        <f>main!$B$54</f>
        <v>McLane-PARFLUX-Mark78H-21 ; frame # 12993-01, controller # 12993-01 and motor # 12993-01 Cup set ACx21</v>
      </c>
      <c r="E54" s="376">
        <v>3800</v>
      </c>
      <c r="F54" s="233">
        <v>1</v>
      </c>
      <c r="G54" s="151">
        <f>main!E61</f>
        <v>329.01428571428568</v>
      </c>
      <c r="H54" s="125">
        <f>main!I61</f>
        <v>65.802857142857135</v>
      </c>
      <c r="I54" s="155">
        <f>main!J61</f>
        <v>24.03449357142857</v>
      </c>
      <c r="J54" s="431">
        <v>1</v>
      </c>
      <c r="K54" s="155">
        <f>main!AF61</f>
        <v>73.018822464509</v>
      </c>
      <c r="L54" s="155">
        <f>main!AG61</f>
        <v>8.7619464465254993</v>
      </c>
      <c r="M54" s="431">
        <v>1</v>
      </c>
      <c r="N54" s="155">
        <f>main!M61</f>
        <v>13.32733154296875</v>
      </c>
      <c r="O54" s="431">
        <v>1</v>
      </c>
      <c r="P54" s="155">
        <f>main!O61</f>
        <v>0.60172700881958008</v>
      </c>
      <c r="Q54" s="431">
        <v>1</v>
      </c>
      <c r="R54" s="155">
        <f>main!AH61</f>
        <v>4.5653850964432507</v>
      </c>
      <c r="S54" s="431">
        <v>1</v>
      </c>
      <c r="T54" s="155">
        <f>main!AB61</f>
        <v>3.7052913978229824</v>
      </c>
      <c r="U54" s="431">
        <v>1</v>
      </c>
      <c r="V54" s="155">
        <f>main!AC61</f>
        <v>7.926342474018619</v>
      </c>
      <c r="W54" s="155">
        <f t="shared" si="20"/>
        <v>17.549704191165258</v>
      </c>
      <c r="X54" s="155">
        <f t="shared" si="21"/>
        <v>2.1058894554221852</v>
      </c>
      <c r="Y54" s="155">
        <f t="shared" si="22"/>
        <v>3.2031566429377967</v>
      </c>
      <c r="Z54" s="155">
        <f t="shared" si="23"/>
        <v>0.14462203925229139</v>
      </c>
      <c r="AA54" s="155">
        <f t="shared" si="24"/>
        <v>1.097267187515611</v>
      </c>
      <c r="AB54" s="155">
        <f t="shared" si="25"/>
        <v>1.9050562723674171</v>
      </c>
      <c r="AC54" s="139">
        <f>main!T61</f>
        <v>44142</v>
      </c>
      <c r="AD54" s="139">
        <f>main!U61</f>
        <v>44152</v>
      </c>
      <c r="AE54" s="139">
        <f>main!V61</f>
        <v>44147</v>
      </c>
      <c r="AF54" s="151">
        <f>main!H61</f>
        <v>10</v>
      </c>
      <c r="AG54" s="125">
        <f t="shared" si="26"/>
        <v>0.89054802281246048</v>
      </c>
      <c r="AH54" s="125">
        <f t="shared" si="27"/>
        <v>0.26670746402479573</v>
      </c>
      <c r="AI54" s="125">
        <f t="shared" si="28"/>
        <v>1.0322772252126437E-2</v>
      </c>
      <c r="AJ54" s="125">
        <f t="shared" si="29"/>
        <v>9.1362796629109996E-2</v>
      </c>
      <c r="AK54" s="125">
        <f t="shared" si="30"/>
        <v>0.17534466739568569</v>
      </c>
      <c r="AL54" s="125">
        <f t="shared" si="31"/>
        <v>3.1703382798592396E-2</v>
      </c>
      <c r="AM54" s="432">
        <f>depths!$B$4</f>
        <v>3854.6</v>
      </c>
      <c r="AN54" s="376"/>
      <c r="AO54" s="155">
        <f t="shared" si="32"/>
        <v>266.70746402479574</v>
      </c>
      <c r="AP54" s="431">
        <v>1</v>
      </c>
      <c r="AQ54" s="155">
        <f t="shared" si="33"/>
        <v>10.322772252126438</v>
      </c>
      <c r="AR54" s="431">
        <v>1</v>
      </c>
      <c r="AS54" s="155">
        <f t="shared" si="34"/>
        <v>91.362796629109994</v>
      </c>
      <c r="AT54" s="431">
        <v>1</v>
      </c>
      <c r="AU54" s="155">
        <f t="shared" si="35"/>
        <v>175.34466739568569</v>
      </c>
      <c r="AV54" s="431">
        <v>1</v>
      </c>
      <c r="AW54" s="155">
        <f t="shared" si="36"/>
        <v>31.703382798592397</v>
      </c>
      <c r="AX54" s="431">
        <v>1</v>
      </c>
      <c r="AY54" s="155">
        <f t="shared" si="37"/>
        <v>8.8506066391506142</v>
      </c>
      <c r="AZ54" s="155">
        <f t="shared" si="38"/>
        <v>16.986199357402814</v>
      </c>
      <c r="BA54" s="155">
        <f>main!R61</f>
        <v>40.44</v>
      </c>
      <c r="BB54" s="431">
        <v>1</v>
      </c>
      <c r="BC54" s="155">
        <f>main!S61</f>
        <v>8.59</v>
      </c>
      <c r="BD54" s="431">
        <v>1</v>
      </c>
    </row>
    <row r="55" spans="1:56">
      <c r="A55" s="376">
        <f>main!A62</f>
        <v>2020</v>
      </c>
      <c r="B55" s="376" t="str">
        <f>main!B62</f>
        <v>47_3800</v>
      </c>
      <c r="C55" s="376">
        <f>main!C62</f>
        <v>8</v>
      </c>
      <c r="D55" s="376" t="str">
        <f>main!$B$54</f>
        <v>McLane-PARFLUX-Mark78H-21 ; frame # 12993-01, controller # 12993-01 and motor # 12993-01 Cup set ACx21</v>
      </c>
      <c r="E55" s="376">
        <v>3800</v>
      </c>
      <c r="F55" s="233">
        <v>1</v>
      </c>
      <c r="G55" s="151">
        <f>main!E62</f>
        <v>288.75714285714287</v>
      </c>
      <c r="H55" s="125">
        <f>main!I62</f>
        <v>57.751428571428576</v>
      </c>
      <c r="I55" s="155">
        <f>main!J62</f>
        <v>21.09370928571429</v>
      </c>
      <c r="J55" s="431">
        <v>1</v>
      </c>
      <c r="K55" s="155">
        <f>main!AF62</f>
        <v>72.701089482281674</v>
      </c>
      <c r="L55" s="155">
        <f>main!AG62</f>
        <v>8.72381984737466</v>
      </c>
      <c r="M55" s="431">
        <v>1</v>
      </c>
      <c r="N55" s="155">
        <f>main!M62</f>
        <v>13.380064964294434</v>
      </c>
      <c r="O55" s="431">
        <v>1</v>
      </c>
      <c r="P55" s="155">
        <f>main!O62</f>
        <v>0.59552651643753052</v>
      </c>
      <c r="Q55" s="431">
        <v>1</v>
      </c>
      <c r="R55" s="155">
        <f>main!AH62</f>
        <v>4.6562451169197736</v>
      </c>
      <c r="S55" s="431">
        <v>1</v>
      </c>
      <c r="T55" s="155">
        <f>main!AB62</f>
        <v>3.7302373745900064</v>
      </c>
      <c r="U55" s="431">
        <v>1</v>
      </c>
      <c r="V55" s="155">
        <f>main!AC62</f>
        <v>7.9797067938452662</v>
      </c>
      <c r="W55" s="155">
        <f t="shared" si="20"/>
        <v>15.335356462939504</v>
      </c>
      <c r="X55" s="155">
        <f t="shared" si="21"/>
        <v>1.8401771972146548</v>
      </c>
      <c r="Y55" s="155">
        <f t="shared" si="22"/>
        <v>2.8223520058079794</v>
      </c>
      <c r="Z55" s="155">
        <f t="shared" si="23"/>
        <v>0.1256186320966742</v>
      </c>
      <c r="AA55" s="155">
        <f t="shared" si="24"/>
        <v>0.98217480859332451</v>
      </c>
      <c r="AB55" s="155">
        <f t="shared" si="25"/>
        <v>1.6832161529461129</v>
      </c>
      <c r="AC55" s="139">
        <f>main!T62</f>
        <v>44152</v>
      </c>
      <c r="AD55" s="139">
        <f>main!U62</f>
        <v>44162</v>
      </c>
      <c r="AE55" s="139">
        <f>main!V62</f>
        <v>44157</v>
      </c>
      <c r="AF55" s="151">
        <f>main!H62</f>
        <v>10</v>
      </c>
      <c r="AG55" s="125">
        <f t="shared" si="26"/>
        <v>0.78684542746307717</v>
      </c>
      <c r="AH55" s="125">
        <f t="shared" si="27"/>
        <v>0.23500016701148871</v>
      </c>
      <c r="AI55" s="125">
        <f t="shared" si="28"/>
        <v>8.9663548962651118E-3</v>
      </c>
      <c r="AJ55" s="125">
        <f t="shared" si="29"/>
        <v>8.1779750923673983E-2</v>
      </c>
      <c r="AK55" s="125">
        <f t="shared" si="30"/>
        <v>0.15322041608781473</v>
      </c>
      <c r="AL55" s="125">
        <f t="shared" si="31"/>
        <v>2.801158517134486E-2</v>
      </c>
      <c r="AM55" s="432">
        <f>depths!$B$4</f>
        <v>3854.6</v>
      </c>
      <c r="AN55" s="376"/>
      <c r="AO55" s="155">
        <f t="shared" si="32"/>
        <v>235.00016701148871</v>
      </c>
      <c r="AP55" s="431">
        <v>1</v>
      </c>
      <c r="AQ55" s="155">
        <f t="shared" si="33"/>
        <v>8.966354896265111</v>
      </c>
      <c r="AR55" s="431">
        <v>1</v>
      </c>
      <c r="AS55" s="155">
        <f t="shared" si="34"/>
        <v>81.779750923673987</v>
      </c>
      <c r="AT55" s="431">
        <v>1</v>
      </c>
      <c r="AU55" s="155">
        <f t="shared" si="35"/>
        <v>153.22041608781473</v>
      </c>
      <c r="AV55" s="431">
        <v>1</v>
      </c>
      <c r="AW55" s="155">
        <f t="shared" si="36"/>
        <v>28.011585171344862</v>
      </c>
      <c r="AX55" s="431">
        <v>1</v>
      </c>
      <c r="AY55" s="155">
        <f t="shared" si="37"/>
        <v>9.1207354459880818</v>
      </c>
      <c r="AZ55" s="155">
        <f t="shared" si="38"/>
        <v>17.088372907438441</v>
      </c>
      <c r="BA55" s="155">
        <f>main!R62</f>
        <v>40.49</v>
      </c>
      <c r="BB55" s="431">
        <v>1</v>
      </c>
      <c r="BC55" s="155">
        <f>main!S62</f>
        <v>8.51</v>
      </c>
      <c r="BD55" s="431">
        <v>1</v>
      </c>
    </row>
    <row r="56" spans="1:56">
      <c r="A56" s="376">
        <f>main!A63</f>
        <v>2020</v>
      </c>
      <c r="B56" s="376" t="str">
        <f>main!B63</f>
        <v>47_3800</v>
      </c>
      <c r="C56" s="376">
        <f>main!C63</f>
        <v>9</v>
      </c>
      <c r="D56" s="376" t="str">
        <f>main!$B$54</f>
        <v>McLane-PARFLUX-Mark78H-21 ; frame # 12993-01, controller # 12993-01 and motor # 12993-01 Cup set ACx21</v>
      </c>
      <c r="E56" s="376">
        <v>3800</v>
      </c>
      <c r="F56" s="233">
        <v>1</v>
      </c>
      <c r="G56" s="151">
        <f>main!E63</f>
        <v>294.91428571428571</v>
      </c>
      <c r="H56" s="125">
        <f>main!I63</f>
        <v>58.982857142857142</v>
      </c>
      <c r="I56" s="155">
        <f>main!J63</f>
        <v>21.543488571428572</v>
      </c>
      <c r="J56" s="431">
        <v>1</v>
      </c>
      <c r="K56" s="155">
        <f>main!AF63</f>
        <v>72.457462317211593</v>
      </c>
      <c r="L56" s="155">
        <f>main!AG63</f>
        <v>8.6945856293851769</v>
      </c>
      <c r="M56" s="431">
        <v>1</v>
      </c>
      <c r="N56" s="155">
        <f>main!M63</f>
        <v>13.234282493591309</v>
      </c>
      <c r="O56" s="431">
        <v>1</v>
      </c>
      <c r="P56" s="155">
        <f>main!O63</f>
        <v>0.60648548603057861</v>
      </c>
      <c r="Q56" s="431">
        <v>1</v>
      </c>
      <c r="R56" s="155">
        <f>main!AH63</f>
        <v>4.5396968642061317</v>
      </c>
      <c r="S56" s="431">
        <v>1</v>
      </c>
      <c r="T56" s="155">
        <f>main!AB63</f>
        <v>3.7932186349915229</v>
      </c>
      <c r="U56" s="431">
        <v>1</v>
      </c>
      <c r="V56" s="155">
        <f>main!AC63</f>
        <v>8.1144360191043283</v>
      </c>
      <c r="W56" s="155">
        <f t="shared" si="20"/>
        <v>15.609865113455644</v>
      </c>
      <c r="X56" s="155">
        <f t="shared" si="21"/>
        <v>1.8731170613996664</v>
      </c>
      <c r="Y56" s="155">
        <f t="shared" si="22"/>
        <v>2.8511261365174159</v>
      </c>
      <c r="Z56" s="155">
        <f t="shared" si="23"/>
        <v>0.13065813137037074</v>
      </c>
      <c r="AA56" s="155">
        <f t="shared" si="24"/>
        <v>0.97800907511774926</v>
      </c>
      <c r="AB56" s="155">
        <f t="shared" si="25"/>
        <v>1.7481325964116243</v>
      </c>
      <c r="AC56" s="139">
        <f>main!T63</f>
        <v>44162</v>
      </c>
      <c r="AD56" s="139">
        <f>main!U63</f>
        <v>44172</v>
      </c>
      <c r="AE56" s="139">
        <f>main!V63</f>
        <v>44167</v>
      </c>
      <c r="AF56" s="151">
        <f>main!H63</f>
        <v>10</v>
      </c>
      <c r="AG56" s="125">
        <f t="shared" si="26"/>
        <v>0.81719162311869764</v>
      </c>
      <c r="AH56" s="125">
        <f t="shared" si="27"/>
        <v>0.23739601469753671</v>
      </c>
      <c r="AI56" s="125">
        <f t="shared" si="28"/>
        <v>9.3260621963148285E-3</v>
      </c>
      <c r="AJ56" s="125">
        <f t="shared" si="29"/>
        <v>8.1432895513551151E-2</v>
      </c>
      <c r="AK56" s="125">
        <f t="shared" si="30"/>
        <v>0.15596311918398556</v>
      </c>
      <c r="AL56" s="125">
        <f t="shared" si="31"/>
        <v>2.9091905415403973E-2</v>
      </c>
      <c r="AM56" s="432">
        <f>depths!$B$4</f>
        <v>3854.6</v>
      </c>
      <c r="AN56" s="376"/>
      <c r="AO56" s="155">
        <f t="shared" si="32"/>
        <v>237.39601469753671</v>
      </c>
      <c r="AP56" s="431">
        <v>1</v>
      </c>
      <c r="AQ56" s="155">
        <f t="shared" si="33"/>
        <v>9.3260621963148278</v>
      </c>
      <c r="AR56" s="431">
        <v>1</v>
      </c>
      <c r="AS56" s="155">
        <f t="shared" si="34"/>
        <v>81.432895513551145</v>
      </c>
      <c r="AT56" s="431">
        <v>1</v>
      </c>
      <c r="AU56" s="155">
        <f t="shared" si="35"/>
        <v>155.96311918398555</v>
      </c>
      <c r="AV56" s="431">
        <v>1</v>
      </c>
      <c r="AW56" s="155">
        <f t="shared" si="36"/>
        <v>29.091905415403971</v>
      </c>
      <c r="AX56" s="431">
        <v>1</v>
      </c>
      <c r="AY56" s="155">
        <f t="shared" si="37"/>
        <v>8.7317555683607999</v>
      </c>
      <c r="AZ56" s="155">
        <f t="shared" si="38"/>
        <v>16.723362540474373</v>
      </c>
      <c r="BA56" s="155">
        <f>main!R63</f>
        <v>40.53</v>
      </c>
      <c r="BB56" s="431">
        <v>1</v>
      </c>
      <c r="BC56" s="155">
        <f>main!S63</f>
        <v>8.64</v>
      </c>
      <c r="BD56" s="431">
        <v>1</v>
      </c>
    </row>
    <row r="57" spans="1:56">
      <c r="A57" s="376">
        <f>main!A64</f>
        <v>2020</v>
      </c>
      <c r="B57" s="376" t="str">
        <f>main!B64</f>
        <v>47_3800</v>
      </c>
      <c r="C57" s="376">
        <f>main!C64</f>
        <v>10</v>
      </c>
      <c r="D57" s="376" t="str">
        <f>main!$B$54</f>
        <v>McLane-PARFLUX-Mark78H-21 ; frame # 12993-01, controller # 12993-01 and motor # 12993-01 Cup set ACx21</v>
      </c>
      <c r="E57" s="376">
        <v>3800</v>
      </c>
      <c r="F57" s="233">
        <v>1</v>
      </c>
      <c r="G57" s="151">
        <f>main!E64</f>
        <v>328.71428571428567</v>
      </c>
      <c r="H57" s="125">
        <f>main!I64</f>
        <v>65.742857142857133</v>
      </c>
      <c r="I57" s="155">
        <f>main!J64</f>
        <v>24.01257857142857</v>
      </c>
      <c r="J57" s="431">
        <v>1</v>
      </c>
      <c r="K57" s="155">
        <f>main!AF64</f>
        <v>73.506477766342272</v>
      </c>
      <c r="L57" s="155">
        <f>main!AG64</f>
        <v>8.8204629973929727</v>
      </c>
      <c r="M57" s="431">
        <v>1</v>
      </c>
      <c r="N57" s="155">
        <f>main!M64</f>
        <v>12.993215560913086</v>
      </c>
      <c r="O57" s="431">
        <v>1</v>
      </c>
      <c r="P57" s="155">
        <f>main!O64</f>
        <v>0.56915897130966187</v>
      </c>
      <c r="Q57" s="431">
        <v>1</v>
      </c>
      <c r="R57" s="155">
        <f>main!AH64</f>
        <v>4.1727525635201133</v>
      </c>
      <c r="S57" s="431">
        <v>1</v>
      </c>
      <c r="T57" s="155">
        <f>main!AB64</f>
        <v>3.9164239704910808</v>
      </c>
      <c r="U57" s="431">
        <v>1</v>
      </c>
      <c r="V57" s="155">
        <f>main!AC64</f>
        <v>8.3779963113851572</v>
      </c>
      <c r="W57" s="155">
        <f t="shared" si="20"/>
        <v>17.650800728732609</v>
      </c>
      <c r="X57" s="155">
        <f t="shared" si="21"/>
        <v>2.1180206076127708</v>
      </c>
      <c r="Y57" s="155">
        <f t="shared" si="22"/>
        <v>3.1200060955193378</v>
      </c>
      <c r="Z57" s="155">
        <f t="shared" si="23"/>
        <v>0.13666974518206715</v>
      </c>
      <c r="AA57" s="155">
        <f t="shared" si="24"/>
        <v>1.0019854879065671</v>
      </c>
      <c r="AB57" s="155">
        <f t="shared" si="25"/>
        <v>2.0117729469827479</v>
      </c>
      <c r="AC57" s="139">
        <f>main!T64</f>
        <v>44172</v>
      </c>
      <c r="AD57" s="139">
        <f>main!U64</f>
        <v>44182</v>
      </c>
      <c r="AE57" s="139">
        <f>main!V64</f>
        <v>44177</v>
      </c>
      <c r="AF57" s="151">
        <f>main!H64</f>
        <v>10</v>
      </c>
      <c r="AG57" s="125">
        <f t="shared" si="26"/>
        <v>0.94043438310443317</v>
      </c>
      <c r="AH57" s="125">
        <f t="shared" si="27"/>
        <v>0.25978402127554856</v>
      </c>
      <c r="AI57" s="125">
        <f t="shared" si="28"/>
        <v>9.755156686799939E-3</v>
      </c>
      <c r="AJ57" s="125">
        <f t="shared" si="29"/>
        <v>8.3429266270321989E-2</v>
      </c>
      <c r="AK57" s="125">
        <f t="shared" si="30"/>
        <v>0.17635475500522654</v>
      </c>
      <c r="AL57" s="125">
        <f t="shared" si="31"/>
        <v>3.3479330121197338E-2</v>
      </c>
      <c r="AM57" s="432">
        <f>depths!$B$4</f>
        <v>3854.6</v>
      </c>
      <c r="AN57" s="376"/>
      <c r="AO57" s="155">
        <f t="shared" si="32"/>
        <v>259.78402127554858</v>
      </c>
      <c r="AP57" s="431">
        <v>1</v>
      </c>
      <c r="AQ57" s="155">
        <f t="shared" si="33"/>
        <v>9.7551566867999391</v>
      </c>
      <c r="AR57" s="431">
        <v>1</v>
      </c>
      <c r="AS57" s="155">
        <f t="shared" si="34"/>
        <v>83.429266270321989</v>
      </c>
      <c r="AT57" s="431">
        <v>1</v>
      </c>
      <c r="AU57" s="155">
        <f t="shared" si="35"/>
        <v>176.35475500522654</v>
      </c>
      <c r="AV57" s="431">
        <v>1</v>
      </c>
      <c r="AW57" s="155">
        <f t="shared" si="36"/>
        <v>33.479330121197336</v>
      </c>
      <c r="AX57" s="431">
        <v>1</v>
      </c>
      <c r="AY57" s="155">
        <f t="shared" si="37"/>
        <v>8.5523245754948451</v>
      </c>
      <c r="AZ57" s="155">
        <f t="shared" si="38"/>
        <v>18.078105833385397</v>
      </c>
      <c r="BA57" s="155">
        <f>main!R64</f>
        <v>40.33</v>
      </c>
      <c r="BB57" s="431">
        <v>1</v>
      </c>
      <c r="BC57" s="155">
        <f>main!S64</f>
        <v>8.6300000000000008</v>
      </c>
      <c r="BD57" s="431">
        <v>1</v>
      </c>
    </row>
    <row r="58" spans="1:56">
      <c r="A58" s="376">
        <f>main!A65</f>
        <v>2020</v>
      </c>
      <c r="B58" s="376" t="str">
        <f>main!B65</f>
        <v>47_3800</v>
      </c>
      <c r="C58" s="376">
        <f>main!C65</f>
        <v>11</v>
      </c>
      <c r="D58" s="376" t="str">
        <f>main!$B$54</f>
        <v>McLane-PARFLUX-Mark78H-21 ; frame # 12993-01, controller # 12993-01 and motor # 12993-01 Cup set ACx21</v>
      </c>
      <c r="E58" s="376">
        <v>3800</v>
      </c>
      <c r="F58" s="233">
        <v>1</v>
      </c>
      <c r="G58" s="151">
        <f>main!E65</f>
        <v>483.82857142857142</v>
      </c>
      <c r="H58" s="125">
        <f>main!I65</f>
        <v>96.765714285714282</v>
      </c>
      <c r="I58" s="155">
        <f>main!J65</f>
        <v>35.343677142857146</v>
      </c>
      <c r="J58" s="431">
        <v>1</v>
      </c>
      <c r="K58" s="155">
        <f>main!AF65</f>
        <v>67.28810833802774</v>
      </c>
      <c r="L58" s="155">
        <f>main!AG65</f>
        <v>8.0742852575083575</v>
      </c>
      <c r="M58" s="431">
        <v>1</v>
      </c>
      <c r="N58" s="155">
        <f>main!M65</f>
        <v>13.472657203674316</v>
      </c>
      <c r="O58" s="431">
        <v>1</v>
      </c>
      <c r="P58" s="155">
        <f>main!O65</f>
        <v>0.74613505601882935</v>
      </c>
      <c r="Q58" s="431">
        <v>1</v>
      </c>
      <c r="R58" s="155">
        <f>main!AH65</f>
        <v>5.3983719461659589</v>
      </c>
      <c r="S58" s="431">
        <v>1</v>
      </c>
      <c r="T58" s="155">
        <f>main!AB65</f>
        <v>6.5596598559310619</v>
      </c>
      <c r="U58" s="431">
        <v>1</v>
      </c>
      <c r="V58" s="155">
        <f>main!AC65</f>
        <v>14.032394472869262</v>
      </c>
      <c r="W58" s="155">
        <f t="shared" si="20"/>
        <v>23.782091766528463</v>
      </c>
      <c r="X58" s="155">
        <f t="shared" si="21"/>
        <v>2.8537493130070652</v>
      </c>
      <c r="Y58" s="155">
        <f t="shared" si="22"/>
        <v>4.7617324646305361</v>
      </c>
      <c r="Z58" s="155">
        <f t="shared" si="23"/>
        <v>0.26371156524897138</v>
      </c>
      <c r="AA58" s="155">
        <f t="shared" si="24"/>
        <v>1.9079831516234707</v>
      </c>
      <c r="AB58" s="155">
        <f t="shared" si="25"/>
        <v>4.9595641979030427</v>
      </c>
      <c r="AC58" s="139">
        <f>main!T65</f>
        <v>44182</v>
      </c>
      <c r="AD58" s="139">
        <f>main!U65</f>
        <v>44192</v>
      </c>
      <c r="AE58" s="139">
        <f>main!V65</f>
        <v>44187</v>
      </c>
      <c r="AF58" s="151">
        <f>main!H65</f>
        <v>10</v>
      </c>
      <c r="AG58" s="125">
        <f t="shared" si="26"/>
        <v>2.3184250011498828</v>
      </c>
      <c r="AH58" s="125">
        <f t="shared" si="27"/>
        <v>0.39648063818738855</v>
      </c>
      <c r="AI58" s="125">
        <f t="shared" si="28"/>
        <v>1.8823095306850206E-2</v>
      </c>
      <c r="AJ58" s="125">
        <f t="shared" si="29"/>
        <v>0.15886620746240387</v>
      </c>
      <c r="AK58" s="125">
        <f t="shared" si="30"/>
        <v>0.23761443072498462</v>
      </c>
      <c r="AL58" s="125">
        <f t="shared" si="31"/>
        <v>8.2535599898536233E-2</v>
      </c>
      <c r="AM58" s="432">
        <f>depths!$B$4</f>
        <v>3854.6</v>
      </c>
      <c r="AN58" s="376"/>
      <c r="AO58" s="155">
        <f t="shared" si="32"/>
        <v>396.48063818738854</v>
      </c>
      <c r="AP58" s="431">
        <v>1</v>
      </c>
      <c r="AQ58" s="155">
        <f t="shared" si="33"/>
        <v>18.823095306850206</v>
      </c>
      <c r="AR58" s="431">
        <v>1</v>
      </c>
      <c r="AS58" s="155">
        <f t="shared" si="34"/>
        <v>158.86620746240388</v>
      </c>
      <c r="AT58" s="431">
        <v>1</v>
      </c>
      <c r="AU58" s="155">
        <f t="shared" si="35"/>
        <v>237.61443072498463</v>
      </c>
      <c r="AV58" s="431">
        <v>1</v>
      </c>
      <c r="AW58" s="155">
        <f t="shared" si="36"/>
        <v>82.535599898536233</v>
      </c>
      <c r="AX58" s="431">
        <v>1</v>
      </c>
      <c r="AY58" s="155">
        <f t="shared" si="37"/>
        <v>8.4399619123528744</v>
      </c>
      <c r="AZ58" s="155">
        <f t="shared" si="38"/>
        <v>12.623557754526731</v>
      </c>
      <c r="BA58" s="155">
        <f>main!R65</f>
        <v>40.08</v>
      </c>
      <c r="BB58" s="431">
        <v>1</v>
      </c>
      <c r="BC58" s="155">
        <f>main!S65</f>
        <v>8.59</v>
      </c>
      <c r="BD58" s="431">
        <v>1</v>
      </c>
    </row>
    <row r="59" spans="1:56">
      <c r="A59" s="376">
        <f>main!A66</f>
        <v>2020</v>
      </c>
      <c r="B59" s="376" t="str">
        <f>main!B66</f>
        <v>47_3800</v>
      </c>
      <c r="C59" s="376">
        <f>main!C66</f>
        <v>12</v>
      </c>
      <c r="D59" s="376" t="str">
        <f>main!$B$54</f>
        <v>McLane-PARFLUX-Mark78H-21 ; frame # 12993-01, controller # 12993-01 and motor # 12993-01 Cup set ACx21</v>
      </c>
      <c r="E59" s="376">
        <v>3800</v>
      </c>
      <c r="F59" s="233">
        <v>1</v>
      </c>
      <c r="G59" s="151">
        <f>main!E66</f>
        <v>709.71428571428555</v>
      </c>
      <c r="H59" s="125">
        <f>main!I66</f>
        <v>141.94285714285712</v>
      </c>
      <c r="I59" s="155">
        <f>main!J66</f>
        <v>51.844628571428565</v>
      </c>
      <c r="J59" s="431">
        <v>1</v>
      </c>
      <c r="K59" s="155">
        <f>main!AF66</f>
        <v>61.132867810435712</v>
      </c>
      <c r="L59" s="155">
        <f>main!AG66</f>
        <v>7.3356827157533395</v>
      </c>
      <c r="M59" s="431">
        <v>1</v>
      </c>
      <c r="N59" s="155">
        <f>main!M66</f>
        <v>13.184128761291504</v>
      </c>
      <c r="O59" s="431">
        <v>1</v>
      </c>
      <c r="P59" s="155">
        <f>main!O66</f>
        <v>0.76508283615112305</v>
      </c>
      <c r="Q59" s="431">
        <v>1</v>
      </c>
      <c r="R59" s="155">
        <f>main!AH66</f>
        <v>5.8484460455381644</v>
      </c>
      <c r="S59" s="431">
        <v>1</v>
      </c>
      <c r="T59" s="155">
        <f>main!AB66</f>
        <v>8.4994246108032545</v>
      </c>
      <c r="U59" s="431">
        <v>1</v>
      </c>
      <c r="V59" s="155">
        <f>main!AC66</f>
        <v>18.181930397407175</v>
      </c>
      <c r="W59" s="155">
        <f t="shared" si="20"/>
        <v>31.694108251382808</v>
      </c>
      <c r="X59" s="155">
        <f t="shared" si="21"/>
        <v>3.8031574571608022</v>
      </c>
      <c r="Y59" s="155">
        <f t="shared" si="22"/>
        <v>6.8352625866704653</v>
      </c>
      <c r="Z59" s="155">
        <f t="shared" si="23"/>
        <v>0.39665435466630117</v>
      </c>
      <c r="AA59" s="155">
        <f t="shared" si="24"/>
        <v>3.032105129509663</v>
      </c>
      <c r="AB59" s="155">
        <f t="shared" si="25"/>
        <v>9.426354281651415</v>
      </c>
      <c r="AC59" s="139">
        <f>main!T66</f>
        <v>44192</v>
      </c>
      <c r="AD59" s="139">
        <f>main!U66</f>
        <v>44202</v>
      </c>
      <c r="AE59" s="139">
        <f>main!V66</f>
        <v>44197</v>
      </c>
      <c r="AF59" s="151">
        <f>main!H66</f>
        <v>10</v>
      </c>
      <c r="AG59" s="125">
        <f t="shared" si="26"/>
        <v>4.4064951201795353</v>
      </c>
      <c r="AH59" s="125">
        <f t="shared" si="27"/>
        <v>0.56913093977272822</v>
      </c>
      <c r="AI59" s="125">
        <f t="shared" si="28"/>
        <v>2.8312230882676745E-2</v>
      </c>
      <c r="AJ59" s="125">
        <f t="shared" si="29"/>
        <v>0.25246503992586705</v>
      </c>
      <c r="AK59" s="125">
        <f t="shared" si="30"/>
        <v>0.31666589984686117</v>
      </c>
      <c r="AL59" s="125">
        <f t="shared" si="31"/>
        <v>0.15687059879599627</v>
      </c>
      <c r="AM59" s="432">
        <f>depths!$B$4</f>
        <v>3854.6</v>
      </c>
      <c r="AN59" s="376"/>
      <c r="AO59" s="155">
        <f t="shared" si="32"/>
        <v>569.1309397727282</v>
      </c>
      <c r="AP59" s="431">
        <v>1</v>
      </c>
      <c r="AQ59" s="155">
        <f t="shared" si="33"/>
        <v>28.312230882676744</v>
      </c>
      <c r="AR59" s="431">
        <v>1</v>
      </c>
      <c r="AS59" s="155">
        <f t="shared" si="34"/>
        <v>252.46503992586705</v>
      </c>
      <c r="AT59" s="431">
        <v>1</v>
      </c>
      <c r="AU59" s="155">
        <f t="shared" si="35"/>
        <v>316.66589984686118</v>
      </c>
      <c r="AV59" s="431">
        <v>1</v>
      </c>
      <c r="AW59" s="155">
        <f t="shared" si="36"/>
        <v>156.87059879599627</v>
      </c>
      <c r="AX59" s="431">
        <v>1</v>
      </c>
      <c r="AY59" s="155">
        <f t="shared" si="37"/>
        <v>8.9171722628308139</v>
      </c>
      <c r="AZ59" s="155">
        <f t="shared" si="38"/>
        <v>11.1847738583051</v>
      </c>
      <c r="BA59" s="155">
        <f>main!R66</f>
        <v>39.980000000000004</v>
      </c>
      <c r="BB59" s="431">
        <v>1</v>
      </c>
      <c r="BC59" s="155">
        <f>main!S66</f>
        <v>8.5249999999999986</v>
      </c>
      <c r="BD59" s="431">
        <v>1</v>
      </c>
    </row>
    <row r="60" spans="1:56">
      <c r="A60" s="376">
        <f>main!A67</f>
        <v>2020</v>
      </c>
      <c r="B60" s="376" t="str">
        <f>main!B67</f>
        <v>47_3800</v>
      </c>
      <c r="C60" s="376">
        <f>main!C67</f>
        <v>13</v>
      </c>
      <c r="D60" s="376" t="str">
        <f>main!$B$54</f>
        <v>McLane-PARFLUX-Mark78H-21 ; frame # 12993-01, controller # 12993-01 and motor # 12993-01 Cup set ACx21</v>
      </c>
      <c r="E60" s="376">
        <v>3800</v>
      </c>
      <c r="F60" s="233">
        <v>1</v>
      </c>
      <c r="G60" s="151">
        <f>main!E67</f>
        <v>529.78571428571433</v>
      </c>
      <c r="H60" s="125">
        <f>main!I67</f>
        <v>105.95714285714287</v>
      </c>
      <c r="I60" s="155">
        <f>main!J67</f>
        <v>38.700846428571438</v>
      </c>
      <c r="J60" s="431">
        <v>1</v>
      </c>
      <c r="K60" s="155">
        <f>main!AF67</f>
        <v>66.175924978466284</v>
      </c>
      <c r="L60" s="155">
        <f>main!AG67</f>
        <v>7.9408280103727868</v>
      </c>
      <c r="M60" s="431">
        <v>1</v>
      </c>
      <c r="N60" s="155">
        <f>main!M67</f>
        <v>12.692751884460449</v>
      </c>
      <c r="O60" s="431">
        <v>1</v>
      </c>
      <c r="P60" s="155">
        <f>main!O67</f>
        <v>0.65266978740692139</v>
      </c>
      <c r="Q60" s="431">
        <v>1</v>
      </c>
      <c r="R60" s="155">
        <f>main!AH67</f>
        <v>4.7519238740876624</v>
      </c>
      <c r="S60" s="431">
        <v>1</v>
      </c>
      <c r="T60" s="155">
        <f>main!AB67</f>
        <v>7.1012291337416045</v>
      </c>
      <c r="U60" s="431">
        <v>1</v>
      </c>
      <c r="V60" s="155">
        <f>main!AC67</f>
        <v>15.190917004148558</v>
      </c>
      <c r="W60" s="155">
        <f t="shared" si="20"/>
        <v>25.610643098602882</v>
      </c>
      <c r="X60" s="155">
        <f t="shared" si="21"/>
        <v>3.0731676534513572</v>
      </c>
      <c r="Y60" s="155">
        <f t="shared" si="22"/>
        <v>4.9122024143646454</v>
      </c>
      <c r="Z60" s="155">
        <f t="shared" si="23"/>
        <v>0.25258873211003635</v>
      </c>
      <c r="AA60" s="155">
        <f t="shared" si="24"/>
        <v>1.8390347609132887</v>
      </c>
      <c r="AB60" s="155">
        <f t="shared" si="25"/>
        <v>5.8790134608672782</v>
      </c>
      <c r="AC60" s="139">
        <f>main!T67</f>
        <v>44202</v>
      </c>
      <c r="AD60" s="139">
        <f>main!U67</f>
        <v>44212</v>
      </c>
      <c r="AE60" s="139">
        <f>main!V67</f>
        <v>44207</v>
      </c>
      <c r="AF60" s="151">
        <f>main!H67</f>
        <v>10</v>
      </c>
      <c r="AG60" s="125">
        <f t="shared" si="26"/>
        <v>2.7482357815903122</v>
      </c>
      <c r="AH60" s="125">
        <f t="shared" si="27"/>
        <v>0.40900936006366739</v>
      </c>
      <c r="AI60" s="125">
        <f t="shared" si="28"/>
        <v>1.8029174311922653E-2</v>
      </c>
      <c r="AJ60" s="125">
        <f t="shared" si="29"/>
        <v>0.15312529233249697</v>
      </c>
      <c r="AK60" s="125">
        <f t="shared" si="30"/>
        <v>0.25588406773117045</v>
      </c>
      <c r="AL60" s="125">
        <f t="shared" si="31"/>
        <v>9.7836802477405213E-2</v>
      </c>
      <c r="AM60" s="432">
        <f>depths!$B$4</f>
        <v>3854.6</v>
      </c>
      <c r="AN60" s="376"/>
      <c r="AO60" s="155">
        <f t="shared" si="32"/>
        <v>409.00936006366737</v>
      </c>
      <c r="AP60" s="431">
        <v>1</v>
      </c>
      <c r="AQ60" s="155">
        <f t="shared" si="33"/>
        <v>18.029174311922652</v>
      </c>
      <c r="AR60" s="431">
        <v>1</v>
      </c>
      <c r="AS60" s="155">
        <f t="shared" si="34"/>
        <v>153.12529233249697</v>
      </c>
      <c r="AT60" s="431">
        <v>1</v>
      </c>
      <c r="AU60" s="155">
        <f t="shared" si="35"/>
        <v>255.88406773117046</v>
      </c>
      <c r="AV60" s="431">
        <v>1</v>
      </c>
      <c r="AW60" s="155">
        <f t="shared" si="36"/>
        <v>97.836802477405215</v>
      </c>
      <c r="AX60" s="431">
        <v>1</v>
      </c>
      <c r="AY60" s="155">
        <f t="shared" si="37"/>
        <v>8.4931949563123119</v>
      </c>
      <c r="AZ60" s="155">
        <f t="shared" si="38"/>
        <v>14.192777955558114</v>
      </c>
      <c r="BA60" s="155">
        <f>main!R67</f>
        <v>40.24</v>
      </c>
      <c r="BB60" s="431">
        <v>1</v>
      </c>
      <c r="BC60" s="155">
        <f>main!S67</f>
        <v>8.58</v>
      </c>
      <c r="BD60" s="431">
        <v>1</v>
      </c>
    </row>
    <row r="61" spans="1:56">
      <c r="A61" s="376">
        <f>main!A68</f>
        <v>2020</v>
      </c>
      <c r="B61" s="376" t="str">
        <f>main!B68</f>
        <v>47_3800</v>
      </c>
      <c r="C61" s="376">
        <f>main!C68</f>
        <v>14</v>
      </c>
      <c r="D61" s="376" t="str">
        <f>main!$B$54</f>
        <v>McLane-PARFLUX-Mark78H-21 ; frame # 12993-01, controller # 12993-01 and motor # 12993-01 Cup set ACx21</v>
      </c>
      <c r="E61" s="376">
        <v>3800</v>
      </c>
      <c r="F61" s="233">
        <v>1</v>
      </c>
      <c r="G61" s="151">
        <f>main!E68</f>
        <v>573.92857142857144</v>
      </c>
      <c r="H61" s="125">
        <f>main!I68</f>
        <v>114.78571428571429</v>
      </c>
      <c r="I61" s="155">
        <f>main!J68</f>
        <v>41.925482142857149</v>
      </c>
      <c r="J61" s="431">
        <v>1</v>
      </c>
      <c r="K61" s="155">
        <f>main!AF68</f>
        <v>65.744699445071774</v>
      </c>
      <c r="L61" s="155">
        <f>main!AG68</f>
        <v>7.8890827904082546</v>
      </c>
      <c r="M61" s="431">
        <v>1</v>
      </c>
      <c r="N61" s="155">
        <f>main!M68</f>
        <v>12.899261474609375</v>
      </c>
      <c r="O61" s="431">
        <v>1</v>
      </c>
      <c r="P61" s="155">
        <f>main!O68</f>
        <v>0.70554590225219727</v>
      </c>
      <c r="Q61" s="431">
        <v>1</v>
      </c>
      <c r="R61" s="155">
        <f>main!AH68</f>
        <v>5.0101786842011204</v>
      </c>
      <c r="S61" s="431">
        <v>1</v>
      </c>
      <c r="T61" s="155">
        <f>main!AB68</f>
        <v>7.2363021171661863</v>
      </c>
      <c r="U61" s="431">
        <v>1</v>
      </c>
      <c r="V61" s="155">
        <f>main!AC68</f>
        <v>15.479864514792315</v>
      </c>
      <c r="W61" s="155">
        <f t="shared" si="20"/>
        <v>27.563782225718668</v>
      </c>
      <c r="X61" s="155">
        <f t="shared" si="21"/>
        <v>3.3075359965278293</v>
      </c>
      <c r="Y61" s="155">
        <f t="shared" si="22"/>
        <v>5.4080775660978055</v>
      </c>
      <c r="Z61" s="155">
        <f t="shared" si="23"/>
        <v>0.29580352125840531</v>
      </c>
      <c r="AA61" s="155">
        <f t="shared" si="24"/>
        <v>2.1005415695699763</v>
      </c>
      <c r="AB61" s="155">
        <f t="shared" si="25"/>
        <v>6.4900078328877324</v>
      </c>
      <c r="AC61" s="139">
        <f>main!T68</f>
        <v>44212</v>
      </c>
      <c r="AD61" s="139">
        <f>main!U68</f>
        <v>44222</v>
      </c>
      <c r="AE61" s="139">
        <f>main!V68</f>
        <v>44217</v>
      </c>
      <c r="AF61" s="151">
        <f>main!H68</f>
        <v>10</v>
      </c>
      <c r="AG61" s="125">
        <f t="shared" si="26"/>
        <v>3.0338545519357032</v>
      </c>
      <c r="AH61" s="125">
        <f t="shared" si="27"/>
        <v>0.45029788227292306</v>
      </c>
      <c r="AI61" s="125">
        <f t="shared" si="28"/>
        <v>2.1113741702955411E-2</v>
      </c>
      <c r="AJ61" s="125">
        <f t="shared" si="29"/>
        <v>0.17489938131307048</v>
      </c>
      <c r="AK61" s="125">
        <f t="shared" si="30"/>
        <v>0.27539850095985258</v>
      </c>
      <c r="AL61" s="125">
        <f t="shared" si="31"/>
        <v>0.10800479002975091</v>
      </c>
      <c r="AM61" s="432">
        <f>depths!$B$4</f>
        <v>3854.6</v>
      </c>
      <c r="AN61" s="376"/>
      <c r="AO61" s="155">
        <f t="shared" si="32"/>
        <v>450.29788227292306</v>
      </c>
      <c r="AP61" s="431">
        <v>1</v>
      </c>
      <c r="AQ61" s="155">
        <f t="shared" si="33"/>
        <v>21.113741702955412</v>
      </c>
      <c r="AR61" s="431">
        <v>1</v>
      </c>
      <c r="AS61" s="155">
        <f t="shared" si="34"/>
        <v>174.89938131307048</v>
      </c>
      <c r="AT61" s="431">
        <v>1</v>
      </c>
      <c r="AU61" s="155">
        <f t="shared" si="35"/>
        <v>275.39850095985258</v>
      </c>
      <c r="AV61" s="431">
        <v>1</v>
      </c>
      <c r="AW61" s="155">
        <f t="shared" si="36"/>
        <v>108.00479002975091</v>
      </c>
      <c r="AX61" s="431">
        <v>1</v>
      </c>
      <c r="AY61" s="155">
        <f t="shared" si="37"/>
        <v>8.2836753320984702</v>
      </c>
      <c r="AZ61" s="155">
        <f t="shared" si="38"/>
        <v>13.043566831231219</v>
      </c>
      <c r="BA61" s="155">
        <f>main!R68</f>
        <v>40.14</v>
      </c>
      <c r="BB61" s="431">
        <v>1</v>
      </c>
      <c r="BC61" s="155">
        <f>main!S68</f>
        <v>8.56</v>
      </c>
      <c r="BD61" s="431">
        <v>1</v>
      </c>
    </row>
    <row r="62" spans="1:56">
      <c r="A62" s="376">
        <f>main!A69</f>
        <v>2020</v>
      </c>
      <c r="B62" s="376" t="str">
        <f>main!B69</f>
        <v>47_3800</v>
      </c>
      <c r="C62" s="376">
        <f>main!C69</f>
        <v>15</v>
      </c>
      <c r="D62" s="376" t="str">
        <f>main!$B$54</f>
        <v>McLane-PARFLUX-Mark78H-21 ; frame # 12993-01, controller # 12993-01 and motor # 12993-01 Cup set ACx21</v>
      </c>
      <c r="E62" s="376">
        <v>3800</v>
      </c>
      <c r="F62" s="233">
        <v>1</v>
      </c>
      <c r="G62" s="151">
        <f>main!E69</f>
        <v>539.07142857142856</v>
      </c>
      <c r="H62" s="125">
        <f>main!I69</f>
        <v>107.81428571428572</v>
      </c>
      <c r="I62" s="155">
        <f>main!J69</f>
        <v>39.37916785714286</v>
      </c>
      <c r="J62" s="431">
        <v>1</v>
      </c>
      <c r="K62" s="155">
        <f>main!AF69</f>
        <v>67.498158357656479</v>
      </c>
      <c r="L62" s="155">
        <f>main!AG69</f>
        <v>8.099490361630286</v>
      </c>
      <c r="M62" s="431">
        <v>1</v>
      </c>
      <c r="N62" s="155">
        <f>main!M69</f>
        <v>12.310659408569336</v>
      </c>
      <c r="O62" s="431">
        <v>1</v>
      </c>
      <c r="P62" s="155">
        <f>main!O69</f>
        <v>0.58270043134689331</v>
      </c>
      <c r="Q62" s="431">
        <v>1</v>
      </c>
      <c r="R62" s="155">
        <f>main!AH69</f>
        <v>4.2111690469390499</v>
      </c>
      <c r="S62" s="431">
        <v>1</v>
      </c>
      <c r="T62" s="155">
        <f>main!AB69</f>
        <v>7.403100659887496</v>
      </c>
      <c r="U62" s="431">
        <v>1</v>
      </c>
      <c r="V62" s="155">
        <f>main!AC69</f>
        <v>15.836679197317183</v>
      </c>
      <c r="W62" s="155">
        <f t="shared" si="20"/>
        <v>26.580213080141647</v>
      </c>
      <c r="X62" s="155">
        <f t="shared" si="21"/>
        <v>3.1895119050794976</v>
      </c>
      <c r="Y62" s="155">
        <f t="shared" si="22"/>
        <v>4.8478352328216694</v>
      </c>
      <c r="Z62" s="155">
        <f t="shared" si="23"/>
        <v>0.22946258096438862</v>
      </c>
      <c r="AA62" s="155">
        <f t="shared" si="24"/>
        <v>1.6583233277421716</v>
      </c>
      <c r="AB62" s="155">
        <f t="shared" si="25"/>
        <v>6.2363524841087576</v>
      </c>
      <c r="AC62" s="139">
        <f>main!T69</f>
        <v>44222</v>
      </c>
      <c r="AD62" s="139">
        <f>main!U69</f>
        <v>44232</v>
      </c>
      <c r="AE62" s="139">
        <f>main!V69</f>
        <v>44227</v>
      </c>
      <c r="AF62" s="151">
        <f>main!H69</f>
        <v>10</v>
      </c>
      <c r="AG62" s="125">
        <f t="shared" si="26"/>
        <v>2.9152794354903477</v>
      </c>
      <c r="AH62" s="125">
        <f t="shared" si="27"/>
        <v>0.40364989448973099</v>
      </c>
      <c r="AI62" s="125">
        <f t="shared" si="28"/>
        <v>1.637848543643031E-2</v>
      </c>
      <c r="AJ62" s="125">
        <f t="shared" si="29"/>
        <v>0.13807854519085525</v>
      </c>
      <c r="AK62" s="125">
        <f t="shared" si="30"/>
        <v>0.26557134929887571</v>
      </c>
      <c r="AL62" s="125">
        <f t="shared" si="31"/>
        <v>0.10378353276932531</v>
      </c>
      <c r="AM62" s="432">
        <f>depths!$B$4</f>
        <v>3854.6</v>
      </c>
      <c r="AN62" s="376"/>
      <c r="AO62" s="155">
        <f t="shared" si="32"/>
        <v>403.64989448973097</v>
      </c>
      <c r="AP62" s="431">
        <v>1</v>
      </c>
      <c r="AQ62" s="155">
        <f t="shared" si="33"/>
        <v>16.37848543643031</v>
      </c>
      <c r="AR62" s="431">
        <v>1</v>
      </c>
      <c r="AS62" s="155">
        <f t="shared" si="34"/>
        <v>138.07854519085524</v>
      </c>
      <c r="AT62" s="431">
        <v>1</v>
      </c>
      <c r="AU62" s="155">
        <f t="shared" si="35"/>
        <v>265.5713492988757</v>
      </c>
      <c r="AV62" s="431">
        <v>1</v>
      </c>
      <c r="AW62" s="155">
        <f t="shared" si="36"/>
        <v>103.7835327693253</v>
      </c>
      <c r="AX62" s="431">
        <v>1</v>
      </c>
      <c r="AY62" s="155">
        <f t="shared" si="37"/>
        <v>8.4304831314701492</v>
      </c>
      <c r="AZ62" s="155">
        <f t="shared" si="38"/>
        <v>16.214646362121563</v>
      </c>
      <c r="BA62" s="155">
        <f>main!R69</f>
        <v>40.270000000000003</v>
      </c>
      <c r="BB62" s="431">
        <v>1</v>
      </c>
      <c r="BC62" s="155">
        <f>main!S69</f>
        <v>8.6</v>
      </c>
      <c r="BD62" s="431">
        <v>1</v>
      </c>
    </row>
    <row r="63" spans="1:56">
      <c r="A63" s="376">
        <f>main!A70</f>
        <v>2020</v>
      </c>
      <c r="B63" s="376" t="str">
        <f>main!B70</f>
        <v>47_3800</v>
      </c>
      <c r="C63" s="376">
        <f>main!C70</f>
        <v>16</v>
      </c>
      <c r="D63" s="376" t="str">
        <f>main!$B$54</f>
        <v>McLane-PARFLUX-Mark78H-21 ; frame # 12993-01, controller # 12993-01 and motor # 12993-01 Cup set ACx21</v>
      </c>
      <c r="E63" s="376">
        <v>3800</v>
      </c>
      <c r="F63" s="233">
        <v>1</v>
      </c>
      <c r="G63" s="151">
        <f>main!E70</f>
        <v>433.32857142857142</v>
      </c>
      <c r="H63" s="125">
        <f>main!I70</f>
        <v>86.665714285714287</v>
      </c>
      <c r="I63" s="155">
        <f>main!J70</f>
        <v>31.654652142857145</v>
      </c>
      <c r="J63" s="431">
        <v>1</v>
      </c>
      <c r="K63" s="155">
        <f>main!AF70</f>
        <v>74.282609667105106</v>
      </c>
      <c r="L63" s="155">
        <f>main!AG70</f>
        <v>8.9135955065241532</v>
      </c>
      <c r="M63" s="431">
        <v>1</v>
      </c>
      <c r="N63" s="155">
        <f>main!M70</f>
        <v>12.324150085449219</v>
      </c>
      <c r="O63" s="431">
        <v>1</v>
      </c>
      <c r="P63" s="155">
        <f>main!O70</f>
        <v>0.46750256419181824</v>
      </c>
      <c r="Q63" s="431">
        <v>1</v>
      </c>
      <c r="R63" s="155">
        <f>main!AH70</f>
        <v>3.4105545789250655</v>
      </c>
      <c r="S63" s="431">
        <v>1</v>
      </c>
      <c r="T63" s="155">
        <f>main!AB70</f>
        <v>5.4052096726053804</v>
      </c>
      <c r="U63" s="431">
        <v>1</v>
      </c>
      <c r="V63" s="155">
        <f>main!AC70</f>
        <v>11.562799901276517</v>
      </c>
      <c r="W63" s="155">
        <f t="shared" si="20"/>
        <v>23.513901692758495</v>
      </c>
      <c r="X63" s="155">
        <f t="shared" si="21"/>
        <v>2.8215676510115664</v>
      </c>
      <c r="Y63" s="155">
        <f t="shared" si="22"/>
        <v>3.901166839112582</v>
      </c>
      <c r="Z63" s="155">
        <f t="shared" si="23"/>
        <v>0.14798631045385749</v>
      </c>
      <c r="AA63" s="155">
        <f t="shared" si="24"/>
        <v>1.0795991881010156</v>
      </c>
      <c r="AB63" s="155">
        <f t="shared" si="25"/>
        <v>3.6601640867237104</v>
      </c>
      <c r="AC63" s="139">
        <f>main!T70</f>
        <v>44232</v>
      </c>
      <c r="AD63" s="139">
        <f>main!U70</f>
        <v>44242</v>
      </c>
      <c r="AE63" s="139">
        <f>main!V70</f>
        <v>44237</v>
      </c>
      <c r="AF63" s="151">
        <f>main!H70</f>
        <v>10</v>
      </c>
      <c r="AG63" s="125">
        <f t="shared" si="26"/>
        <v>1.7110003194553007</v>
      </c>
      <c r="AH63" s="125">
        <f t="shared" si="27"/>
        <v>0.32482654780287945</v>
      </c>
      <c r="AI63" s="125">
        <f t="shared" si="28"/>
        <v>1.0562905813979836E-2</v>
      </c>
      <c r="AJ63" s="125">
        <f t="shared" si="29"/>
        <v>8.9891689267361838E-2</v>
      </c>
      <c r="AK63" s="125">
        <f t="shared" si="30"/>
        <v>0.2349348585355176</v>
      </c>
      <c r="AL63" s="125">
        <f t="shared" si="31"/>
        <v>6.0911367727137795E-2</v>
      </c>
      <c r="AM63" s="432">
        <f>depths!$B$4</f>
        <v>3854.6</v>
      </c>
      <c r="AN63" s="376"/>
      <c r="AO63" s="155">
        <f t="shared" si="32"/>
        <v>324.82654780287947</v>
      </c>
      <c r="AP63" s="431">
        <v>1</v>
      </c>
      <c r="AQ63" s="155">
        <f t="shared" si="33"/>
        <v>10.562905813979835</v>
      </c>
      <c r="AR63" s="431">
        <v>1</v>
      </c>
      <c r="AS63" s="155">
        <f t="shared" si="34"/>
        <v>89.891689267361841</v>
      </c>
      <c r="AT63" s="431">
        <v>1</v>
      </c>
      <c r="AU63" s="155">
        <f t="shared" si="35"/>
        <v>234.93485853551761</v>
      </c>
      <c r="AV63" s="431">
        <v>1</v>
      </c>
      <c r="AW63" s="155">
        <f t="shared" si="36"/>
        <v>60.911367727137794</v>
      </c>
      <c r="AX63" s="431">
        <v>1</v>
      </c>
      <c r="AY63" s="155">
        <f t="shared" si="37"/>
        <v>8.5101288272770201</v>
      </c>
      <c r="AZ63" s="155">
        <f t="shared" si="38"/>
        <v>22.24149894668048</v>
      </c>
      <c r="BA63" s="155">
        <f>main!R70</f>
        <v>40.270000000000003</v>
      </c>
      <c r="BB63" s="431">
        <v>1</v>
      </c>
      <c r="BC63" s="155">
        <f>main!S70</f>
        <v>8.57</v>
      </c>
      <c r="BD63" s="431">
        <v>1</v>
      </c>
    </row>
    <row r="64" spans="1:56">
      <c r="A64" s="376">
        <f>main!A71</f>
        <v>2020</v>
      </c>
      <c r="B64" s="376" t="str">
        <f>main!B71</f>
        <v>47_3800</v>
      </c>
      <c r="C64" s="376">
        <f>main!C71</f>
        <v>17</v>
      </c>
      <c r="D64" s="376" t="str">
        <f>main!$B$54</f>
        <v>McLane-PARFLUX-Mark78H-21 ; frame # 12993-01, controller # 12993-01 and motor # 12993-01 Cup set ACx21</v>
      </c>
      <c r="E64" s="376">
        <v>3800</v>
      </c>
      <c r="F64" s="233">
        <v>1</v>
      </c>
      <c r="G64" s="151">
        <f>main!E71</f>
        <v>280.01428571428568</v>
      </c>
      <c r="H64" s="125">
        <f>main!I71</f>
        <v>56.002857142857138</v>
      </c>
      <c r="I64" s="155">
        <f>main!J71</f>
        <v>20.455043571428568</v>
      </c>
      <c r="J64" s="431">
        <v>1</v>
      </c>
      <c r="K64" s="155">
        <f>main!AF71</f>
        <v>74.195753070112701</v>
      </c>
      <c r="L64" s="155">
        <f>main!AG71</f>
        <v>8.9031730863085325</v>
      </c>
      <c r="M64" s="431">
        <v>1</v>
      </c>
      <c r="N64" s="155">
        <f>main!M71</f>
        <v>12.596179008483887</v>
      </c>
      <c r="O64" s="431">
        <v>1</v>
      </c>
      <c r="P64" s="155">
        <f>main!O71</f>
        <v>0.53989666700363159</v>
      </c>
      <c r="Q64" s="431">
        <v>1</v>
      </c>
      <c r="R64" s="155">
        <f>main!AH71</f>
        <v>3.6930059221753542</v>
      </c>
      <c r="S64" s="431">
        <v>1</v>
      </c>
      <c r="T64" s="155">
        <f>main!AB71</f>
        <v>5.0650774797338638</v>
      </c>
      <c r="U64" s="431">
        <v>1</v>
      </c>
      <c r="V64" s="155">
        <f>main!AC71</f>
        <v>10.835190664193945</v>
      </c>
      <c r="W64" s="155">
        <f t="shared" si="20"/>
        <v>15.176773618641104</v>
      </c>
      <c r="X64" s="155">
        <f t="shared" si="21"/>
        <v>1.8211479340441121</v>
      </c>
      <c r="Y64" s="155">
        <f t="shared" si="22"/>
        <v>2.5765539045205181</v>
      </c>
      <c r="Z64" s="155">
        <f t="shared" si="23"/>
        <v>0.11043609847628345</v>
      </c>
      <c r="AA64" s="155">
        <f t="shared" si="24"/>
        <v>0.75540597047640612</v>
      </c>
      <c r="AB64" s="155">
        <f t="shared" si="25"/>
        <v>2.2163429714082317</v>
      </c>
      <c r="AC64" s="139">
        <f>main!T71</f>
        <v>44242</v>
      </c>
      <c r="AD64" s="139">
        <f>main!U71</f>
        <v>44252</v>
      </c>
      <c r="AE64" s="139">
        <f>main!V71</f>
        <v>44247</v>
      </c>
      <c r="AF64" s="151">
        <f>main!H71</f>
        <v>10</v>
      </c>
      <c r="AG64" s="125">
        <f t="shared" si="26"/>
        <v>1.0360638054061777</v>
      </c>
      <c r="AH64" s="125">
        <f t="shared" si="27"/>
        <v>0.21453404700420634</v>
      </c>
      <c r="AI64" s="125">
        <f t="shared" si="28"/>
        <v>7.8826622752522103E-3</v>
      </c>
      <c r="AJ64" s="125">
        <f t="shared" si="29"/>
        <v>6.2898082470974698E-2</v>
      </c>
      <c r="AK64" s="125">
        <f t="shared" si="30"/>
        <v>0.15163596453323167</v>
      </c>
      <c r="AL64" s="125">
        <f t="shared" si="31"/>
        <v>3.6883723937564179E-2</v>
      </c>
      <c r="AM64" s="432">
        <f>depths!$B$4</f>
        <v>3854.6</v>
      </c>
      <c r="AN64" s="376"/>
      <c r="AO64" s="155">
        <f t="shared" si="32"/>
        <v>214.53404700420634</v>
      </c>
      <c r="AP64" s="431">
        <v>1</v>
      </c>
      <c r="AQ64" s="155">
        <f t="shared" si="33"/>
        <v>7.8826622752522102</v>
      </c>
      <c r="AR64" s="431">
        <v>1</v>
      </c>
      <c r="AS64" s="155">
        <f t="shared" si="34"/>
        <v>62.8980824709747</v>
      </c>
      <c r="AT64" s="431">
        <v>1</v>
      </c>
      <c r="AU64" s="155">
        <f t="shared" si="35"/>
        <v>151.63596453323166</v>
      </c>
      <c r="AV64" s="431">
        <v>1</v>
      </c>
      <c r="AW64" s="155">
        <f t="shared" si="36"/>
        <v>36.883723937564177</v>
      </c>
      <c r="AX64" s="431">
        <v>1</v>
      </c>
      <c r="AY64" s="155">
        <f t="shared" si="37"/>
        <v>7.9792943392290949</v>
      </c>
      <c r="AZ64" s="155">
        <f t="shared" si="38"/>
        <v>19.236643565118356</v>
      </c>
      <c r="BA64" s="155">
        <f>main!R71</f>
        <v>40.369999999999997</v>
      </c>
      <c r="BB64" s="431">
        <v>1</v>
      </c>
      <c r="BC64" s="155">
        <f>main!S71</f>
        <v>8.5299999999999994</v>
      </c>
      <c r="BD64" s="431">
        <v>1</v>
      </c>
    </row>
    <row r="65" spans="1:56">
      <c r="A65" s="376">
        <f>main!A72</f>
        <v>2020</v>
      </c>
      <c r="B65" s="376" t="str">
        <f>main!B72</f>
        <v>47_3800</v>
      </c>
      <c r="C65" s="376">
        <f>main!C72</f>
        <v>18</v>
      </c>
      <c r="D65" s="376" t="str">
        <f>main!$B$54</f>
        <v>McLane-PARFLUX-Mark78H-21 ; frame # 12993-01, controller # 12993-01 and motor # 12993-01 Cup set ACx21</v>
      </c>
      <c r="E65" s="376">
        <v>3800</v>
      </c>
      <c r="F65" s="233">
        <v>1</v>
      </c>
      <c r="G65" s="151">
        <f>main!E72</f>
        <v>351.8857142857143</v>
      </c>
      <c r="H65" s="125">
        <f>main!I72</f>
        <v>70.377142857142857</v>
      </c>
      <c r="I65" s="155">
        <f>main!J72</f>
        <v>25.705251428571433</v>
      </c>
      <c r="J65" s="431">
        <v>1</v>
      </c>
      <c r="K65" s="155">
        <f>main!AF72</f>
        <v>73.834164289511506</v>
      </c>
      <c r="L65" s="155">
        <f>main!AG72</f>
        <v>8.8597839788926738</v>
      </c>
      <c r="M65" s="431">
        <v>1</v>
      </c>
      <c r="N65" s="155">
        <f>main!M72</f>
        <v>12.922277450561523</v>
      </c>
      <c r="O65" s="431">
        <v>1</v>
      </c>
      <c r="P65" s="155">
        <f>main!O72</f>
        <v>0.5759199857711792</v>
      </c>
      <c r="Q65" s="431">
        <v>1</v>
      </c>
      <c r="R65" s="155">
        <f>main!AH72</f>
        <v>4.0624934716688497</v>
      </c>
      <c r="S65" s="431">
        <v>1</v>
      </c>
      <c r="T65" s="155">
        <f>main!AB72</f>
        <v>4.8718932748538011</v>
      </c>
      <c r="U65" s="431">
        <v>1</v>
      </c>
      <c r="V65" s="155">
        <f>main!AC72</f>
        <v>10.421931893412777</v>
      </c>
      <c r="W65" s="155">
        <f t="shared" ref="W65:W68" si="39">(K65/100)*$I65</f>
        <v>18.979257570803437</v>
      </c>
      <c r="X65" s="155">
        <f t="shared" ref="X65:X68" si="40">(L65/100)*$I65</f>
        <v>2.2774297478026519</v>
      </c>
      <c r="Y65" s="155">
        <f t="shared" ref="Y65:Y68" si="41">(N65/100)*$I65</f>
        <v>3.3217039089644302</v>
      </c>
      <c r="Z65" s="155">
        <f t="shared" ref="Z65:Z68" si="42">(P65/100)*$I65</f>
        <v>0.14804168036987442</v>
      </c>
      <c r="AA65" s="155">
        <f t="shared" ref="AA65:AA68" si="43">(R65/100)*$I65</f>
        <v>1.0442741611617781</v>
      </c>
      <c r="AB65" s="155">
        <f t="shared" ref="AB65:AB68" si="44">(V65/100)*$I65</f>
        <v>2.67898379691623</v>
      </c>
      <c r="AC65" s="139">
        <f>main!T72</f>
        <v>44252</v>
      </c>
      <c r="AD65" s="139">
        <f>main!U72</f>
        <v>44262</v>
      </c>
      <c r="AE65" s="139">
        <f>main!V72</f>
        <v>44257</v>
      </c>
      <c r="AF65" s="151">
        <f>main!H72</f>
        <v>10</v>
      </c>
      <c r="AG65" s="125">
        <f t="shared" ref="AG65:AG68" si="45">(T65/100)*$I65</f>
        <v>1.2523324156328322</v>
      </c>
      <c r="AH65" s="125">
        <f t="shared" ref="AH65:AH68" si="46">Y65/12.01</f>
        <v>0.27657817726598088</v>
      </c>
      <c r="AI65" s="125">
        <f t="shared" ref="AI65:AI68" si="47">Z65/14.01</f>
        <v>1.0566857985001742E-2</v>
      </c>
      <c r="AJ65" s="125">
        <f t="shared" ref="AJ65:AJ68" si="48">AA65/12.01</f>
        <v>8.6950388106725909E-2</v>
      </c>
      <c r="AK65" s="125">
        <f t="shared" ref="AK65:AK68" si="49">X65/12.01</f>
        <v>0.18962778915925496</v>
      </c>
      <c r="AL65" s="125">
        <f t="shared" ref="AL65:AL68" si="50">AG65/28.09</f>
        <v>4.4582855665106162E-2</v>
      </c>
      <c r="AM65" s="432">
        <f>depths!$B$4</f>
        <v>3854.6</v>
      </c>
      <c r="AN65" s="376"/>
      <c r="AO65" s="155">
        <f t="shared" ref="AO65:AO68" si="51">AH65*1000</f>
        <v>276.57817726598091</v>
      </c>
      <c r="AP65" s="431">
        <v>1</v>
      </c>
      <c r="AQ65" s="155">
        <f t="shared" ref="AQ65:AQ68" si="52">AI65*1000</f>
        <v>10.566857985001743</v>
      </c>
      <c r="AR65" s="431">
        <v>1</v>
      </c>
      <c r="AS65" s="155">
        <f t="shared" ref="AS65:AS68" si="53">AJ65*1000</f>
        <v>86.95038810672591</v>
      </c>
      <c r="AT65" s="431">
        <v>1</v>
      </c>
      <c r="AU65" s="155">
        <f t="shared" ref="AU65:AU68" si="54">AK65*1000</f>
        <v>189.62778915925497</v>
      </c>
      <c r="AV65" s="431">
        <v>1</v>
      </c>
      <c r="AW65" s="155">
        <f t="shared" ref="AW65:AW68" si="55">AL65*1000</f>
        <v>44.582855665106159</v>
      </c>
      <c r="AX65" s="431">
        <v>1</v>
      </c>
      <c r="AY65" s="155">
        <f t="shared" ref="AY65:AY68" si="56">AS65/AQ65</f>
        <v>8.2285943683676344</v>
      </c>
      <c r="AZ65" s="155">
        <f t="shared" ref="AZ65:AZ68" si="57">AU65/AQ65</f>
        <v>17.945522635811567</v>
      </c>
      <c r="BA65" s="155">
        <f>main!R72</f>
        <v>40.200000000000003</v>
      </c>
      <c r="BB65" s="431">
        <v>1</v>
      </c>
      <c r="BC65" s="155">
        <f>main!S72</f>
        <v>8.61</v>
      </c>
      <c r="BD65" s="431">
        <v>1</v>
      </c>
    </row>
    <row r="66" spans="1:56">
      <c r="A66" s="376">
        <f>main!A73</f>
        <v>2020</v>
      </c>
      <c r="B66" s="376" t="str">
        <f>main!B73</f>
        <v>47_3800</v>
      </c>
      <c r="C66" s="376">
        <f>main!C73</f>
        <v>19</v>
      </c>
      <c r="D66" s="376" t="str">
        <f>main!$B$54</f>
        <v>McLane-PARFLUX-Mark78H-21 ; frame # 12993-01, controller # 12993-01 and motor # 12993-01 Cup set ACx21</v>
      </c>
      <c r="E66" s="376">
        <v>3800</v>
      </c>
      <c r="F66" s="233">
        <v>1</v>
      </c>
      <c r="G66" s="151">
        <f>main!E73</f>
        <v>242.38571428571424</v>
      </c>
      <c r="H66" s="125">
        <f>main!I73</f>
        <v>48.477142857142852</v>
      </c>
      <c r="I66" s="155">
        <f>main!J73</f>
        <v>17.706276428571424</v>
      </c>
      <c r="J66" s="431">
        <v>1</v>
      </c>
      <c r="K66" s="155">
        <f>main!AF73</f>
        <v>73.945311417968867</v>
      </c>
      <c r="L66" s="155">
        <f>main!AG73</f>
        <v>8.8731211590108803</v>
      </c>
      <c r="M66" s="431">
        <v>1</v>
      </c>
      <c r="N66" s="155">
        <f>main!M73</f>
        <v>12.463933944702148</v>
      </c>
      <c r="O66" s="431">
        <v>1</v>
      </c>
      <c r="P66" s="155">
        <f>main!O73</f>
        <v>0.47997963428497314</v>
      </c>
      <c r="Q66" s="431">
        <v>1</v>
      </c>
      <c r="R66" s="155">
        <f>main!AH73</f>
        <v>3.5908127856912682</v>
      </c>
      <c r="S66" s="431">
        <v>1</v>
      </c>
      <c r="T66" s="155">
        <f>main!AB73</f>
        <v>4.6810468183484746</v>
      </c>
      <c r="U66" s="431">
        <v>1</v>
      </c>
      <c r="V66" s="155">
        <f>main!AC73</f>
        <v>10.013674023302238</v>
      </c>
      <c r="W66" s="155">
        <f t="shared" si="39"/>
        <v>13.092961245633555</v>
      </c>
      <c r="X66" s="155">
        <f t="shared" si="40"/>
        <v>1.5710993602565271</v>
      </c>
      <c r="Y66" s="155">
        <f t="shared" si="41"/>
        <v>2.2068985981235092</v>
      </c>
      <c r="Z66" s="155">
        <f t="shared" si="42"/>
        <v>8.4986520847343525E-2</v>
      </c>
      <c r="AA66" s="155">
        <f t="shared" si="43"/>
        <v>0.635799237866982</v>
      </c>
      <c r="AB66" s="155">
        <f t="shared" si="44"/>
        <v>1.773048803221944</v>
      </c>
      <c r="AC66" s="139">
        <f>main!T73</f>
        <v>44262</v>
      </c>
      <c r="AD66" s="139">
        <f>main!U73</f>
        <v>44272</v>
      </c>
      <c r="AE66" s="139">
        <f>main!V73</f>
        <v>44267</v>
      </c>
      <c r="AF66" s="151">
        <f>main!H73</f>
        <v>10</v>
      </c>
      <c r="AG66" s="125">
        <f t="shared" si="45"/>
        <v>0.82883908940762863</v>
      </c>
      <c r="AH66" s="125">
        <f t="shared" si="46"/>
        <v>0.18375508727090001</v>
      </c>
      <c r="AI66" s="125">
        <f t="shared" si="47"/>
        <v>6.0661328227939702E-3</v>
      </c>
      <c r="AJ66" s="125">
        <f t="shared" si="48"/>
        <v>5.2939153860697918E-2</v>
      </c>
      <c r="AK66" s="125">
        <f t="shared" si="49"/>
        <v>0.13081593341020209</v>
      </c>
      <c r="AL66" s="125">
        <f t="shared" si="50"/>
        <v>2.9506553556697353E-2</v>
      </c>
      <c r="AM66" s="432">
        <f>depths!$B$4</f>
        <v>3854.6</v>
      </c>
      <c r="AN66" s="376"/>
      <c r="AO66" s="155">
        <f t="shared" si="51"/>
        <v>183.75508727090002</v>
      </c>
      <c r="AP66" s="431">
        <v>1</v>
      </c>
      <c r="AQ66" s="155">
        <f t="shared" si="52"/>
        <v>6.0661328227939704</v>
      </c>
      <c r="AR66" s="431">
        <v>1</v>
      </c>
      <c r="AS66" s="155">
        <f t="shared" si="53"/>
        <v>52.939153860697921</v>
      </c>
      <c r="AT66" s="431">
        <v>1</v>
      </c>
      <c r="AU66" s="155">
        <f t="shared" si="54"/>
        <v>130.81593341020209</v>
      </c>
      <c r="AV66" s="431">
        <v>1</v>
      </c>
      <c r="AW66" s="155">
        <f t="shared" si="55"/>
        <v>29.506553556697352</v>
      </c>
      <c r="AX66" s="431">
        <v>1</v>
      </c>
      <c r="AY66" s="155">
        <f t="shared" si="56"/>
        <v>8.7270020962572552</v>
      </c>
      <c r="AZ66" s="155">
        <f t="shared" si="57"/>
        <v>21.564963582506955</v>
      </c>
      <c r="BA66" s="155">
        <f>main!R73</f>
        <v>40.229999999999997</v>
      </c>
      <c r="BB66" s="431">
        <v>1</v>
      </c>
      <c r="BC66" s="155">
        <f>main!S73</f>
        <v>8.59</v>
      </c>
      <c r="BD66" s="431">
        <v>1</v>
      </c>
    </row>
    <row r="67" spans="1:56">
      <c r="A67" s="376">
        <f>main!A74</f>
        <v>2020</v>
      </c>
      <c r="B67" s="376" t="str">
        <f>main!B74</f>
        <v>47_3800</v>
      </c>
      <c r="C67" s="376">
        <f>main!C74</f>
        <v>20</v>
      </c>
      <c r="D67" s="376" t="str">
        <f>main!$B$54</f>
        <v>McLane-PARFLUX-Mark78H-21 ; frame # 12993-01, controller # 12993-01 and motor # 12993-01 Cup set ACx21</v>
      </c>
      <c r="E67" s="376">
        <v>3800</v>
      </c>
      <c r="F67" s="233">
        <v>1</v>
      </c>
      <c r="G67" s="151">
        <f>main!E74</f>
        <v>251.48571428571427</v>
      </c>
      <c r="H67" s="125">
        <f>main!I74</f>
        <v>50.297142857142852</v>
      </c>
      <c r="I67" s="155">
        <f>main!J74</f>
        <v>18.371031428571428</v>
      </c>
      <c r="J67" s="431">
        <v>1</v>
      </c>
      <c r="K67" s="155">
        <f>main!AF74</f>
        <v>73.627847786821675</v>
      </c>
      <c r="L67" s="155">
        <f>main!AG74</f>
        <v>8.8350268808378356</v>
      </c>
      <c r="M67" s="431">
        <v>1</v>
      </c>
      <c r="N67" s="155">
        <f>main!M74</f>
        <v>12.741425514221191</v>
      </c>
      <c r="O67" s="431">
        <v>1</v>
      </c>
      <c r="P67" s="155">
        <f>main!O74</f>
        <v>0.56030535697937012</v>
      </c>
      <c r="Q67" s="431">
        <v>1</v>
      </c>
      <c r="R67" s="155">
        <f>main!AH74</f>
        <v>3.9063986333833558</v>
      </c>
      <c r="S67" s="431">
        <v>1</v>
      </c>
      <c r="T67" s="155">
        <f>main!AB74</f>
        <v>4.7562084125475277</v>
      </c>
      <c r="U67" s="431">
        <v>1</v>
      </c>
      <c r="V67" s="155">
        <f>main!AC74</f>
        <v>10.174459363117872</v>
      </c>
      <c r="W67" s="155">
        <f t="shared" si="39"/>
        <v>13.526195057097743</v>
      </c>
      <c r="X67" s="155">
        <f t="shared" si="40"/>
        <v>1.6230855650014528</v>
      </c>
      <c r="Y67" s="155">
        <f t="shared" si="41"/>
        <v>2.3407312856655937</v>
      </c>
      <c r="Z67" s="155">
        <f t="shared" si="42"/>
        <v>0.10293387322664942</v>
      </c>
      <c r="AA67" s="155">
        <f t="shared" si="43"/>
        <v>0.71764572066414112</v>
      </c>
      <c r="AB67" s="155">
        <f t="shared" si="44"/>
        <v>1.8691531272856128</v>
      </c>
      <c r="AC67" s="139">
        <f>main!T74</f>
        <v>44272</v>
      </c>
      <c r="AD67" s="139">
        <f>main!U74</f>
        <v>44282</v>
      </c>
      <c r="AE67" s="139">
        <f>main!V74</f>
        <v>44277</v>
      </c>
      <c r="AF67" s="151">
        <f>main!H74</f>
        <v>10</v>
      </c>
      <c r="AG67" s="125">
        <f t="shared" si="45"/>
        <v>0.87376454227746447</v>
      </c>
      <c r="AH67" s="125">
        <f t="shared" si="46"/>
        <v>0.19489852503460398</v>
      </c>
      <c r="AI67" s="125">
        <f t="shared" si="47"/>
        <v>7.3471715365203008E-3</v>
      </c>
      <c r="AJ67" s="125">
        <f t="shared" si="48"/>
        <v>5.9754015042809416E-2</v>
      </c>
      <c r="AK67" s="125">
        <f t="shared" si="49"/>
        <v>0.13514450999179459</v>
      </c>
      <c r="AL67" s="125">
        <f t="shared" si="50"/>
        <v>3.110589328150461E-2</v>
      </c>
      <c r="AM67" s="432">
        <f>depths!$B$4</f>
        <v>3854.6</v>
      </c>
      <c r="AN67" s="376"/>
      <c r="AO67" s="155">
        <f t="shared" si="51"/>
        <v>194.89852503460398</v>
      </c>
      <c r="AP67" s="431">
        <v>1</v>
      </c>
      <c r="AQ67" s="155">
        <f t="shared" si="52"/>
        <v>7.3471715365203005</v>
      </c>
      <c r="AR67" s="431">
        <v>1</v>
      </c>
      <c r="AS67" s="155">
        <f t="shared" si="53"/>
        <v>59.754015042809414</v>
      </c>
      <c r="AT67" s="431">
        <v>1</v>
      </c>
      <c r="AU67" s="155">
        <f t="shared" si="54"/>
        <v>135.14450999179459</v>
      </c>
      <c r="AV67" s="431">
        <v>1</v>
      </c>
      <c r="AW67" s="155">
        <f t="shared" si="55"/>
        <v>31.10589328150461</v>
      </c>
      <c r="AX67" s="431">
        <v>1</v>
      </c>
      <c r="AY67" s="155">
        <f t="shared" si="56"/>
        <v>8.1329277186183084</v>
      </c>
      <c r="AZ67" s="155">
        <f t="shared" si="57"/>
        <v>18.394086665873665</v>
      </c>
      <c r="BA67" s="155">
        <f>main!R74</f>
        <v>40.47</v>
      </c>
      <c r="BB67" s="431">
        <v>1</v>
      </c>
      <c r="BC67" s="155">
        <f>main!S74</f>
        <v>8.5500000000000007</v>
      </c>
      <c r="BD67" s="431">
        <v>1</v>
      </c>
    </row>
    <row r="68" spans="1:56">
      <c r="A68" s="376">
        <f>main!A75</f>
        <v>2020</v>
      </c>
      <c r="B68" s="376" t="str">
        <f>main!B75</f>
        <v>47_3800</v>
      </c>
      <c r="C68" s="376">
        <f>main!C75</f>
        <v>21</v>
      </c>
      <c r="D68" s="376" t="str">
        <f>main!$B$54</f>
        <v>McLane-PARFLUX-Mark78H-21 ; frame # 12993-01, controller # 12993-01 and motor # 12993-01 Cup set ACx21</v>
      </c>
      <c r="E68" s="376">
        <v>3800</v>
      </c>
      <c r="F68" s="233">
        <v>1</v>
      </c>
      <c r="G68" s="151">
        <f>main!E75</f>
        <v>334.5428571428572</v>
      </c>
      <c r="H68" s="125">
        <f>main!I75</f>
        <v>66.908571428571435</v>
      </c>
      <c r="I68" s="155">
        <f>main!J75</f>
        <v>24.43835571428572</v>
      </c>
      <c r="J68" s="431">
        <v>1</v>
      </c>
      <c r="K68" s="155">
        <f>main!AF75</f>
        <v>73.78008246769933</v>
      </c>
      <c r="L68" s="155">
        <f>main!AG75</f>
        <v>8.8532943915444378</v>
      </c>
      <c r="M68" s="431">
        <v>1</v>
      </c>
      <c r="N68" s="155">
        <f>main!M75</f>
        <v>13.121577262878418</v>
      </c>
      <c r="O68" s="431">
        <v>1</v>
      </c>
      <c r="P68" s="155">
        <f>main!O75</f>
        <v>0.56209111213684082</v>
      </c>
      <c r="Q68" s="431">
        <v>1</v>
      </c>
      <c r="R68" s="155">
        <f>main!AH75</f>
        <v>4.2682828713339802</v>
      </c>
      <c r="S68" s="431">
        <v>1</v>
      </c>
      <c r="T68" s="155">
        <f>main!AB75</f>
        <v>3.8195386282289014</v>
      </c>
      <c r="U68" s="431">
        <v>1</v>
      </c>
      <c r="V68" s="155">
        <f>main!AC75</f>
        <v>8.1707396287032648</v>
      </c>
      <c r="W68" s="155">
        <f t="shared" si="39"/>
        <v>18.030638999749716</v>
      </c>
      <c r="X68" s="155">
        <f t="shared" si="40"/>
        <v>2.1635995758385373</v>
      </c>
      <c r="Y68" s="155">
        <f t="shared" si="41"/>
        <v>3.2066977268270636</v>
      </c>
      <c r="Z68" s="155">
        <f t="shared" si="42"/>
        <v>0.13736582542238579</v>
      </c>
      <c r="AA68" s="155">
        <f t="shared" si="43"/>
        <v>1.0430981509885264</v>
      </c>
      <c r="AB68" s="155">
        <f t="shared" si="44"/>
        <v>1.9967944149506121</v>
      </c>
      <c r="AC68" s="139">
        <f>main!T75</f>
        <v>44282</v>
      </c>
      <c r="AD68" s="139">
        <f>main!U75</f>
        <v>44292</v>
      </c>
      <c r="AE68" s="139">
        <f>main!V75</f>
        <v>44287</v>
      </c>
      <c r="AF68" s="151">
        <f>main!H75</f>
        <v>10</v>
      </c>
      <c r="AG68" s="125">
        <f t="shared" si="45"/>
        <v>0.93343243661112818</v>
      </c>
      <c r="AH68" s="125">
        <f t="shared" si="46"/>
        <v>0.26700230864505109</v>
      </c>
      <c r="AI68" s="125">
        <f t="shared" si="47"/>
        <v>9.8048412150168306E-3</v>
      </c>
      <c r="AJ68" s="125">
        <f t="shared" si="48"/>
        <v>8.6852468858328591E-2</v>
      </c>
      <c r="AK68" s="125">
        <f t="shared" si="49"/>
        <v>0.18014983978672253</v>
      </c>
      <c r="AL68" s="125">
        <f t="shared" si="50"/>
        <v>3.3230061823108871E-2</v>
      </c>
      <c r="AM68" s="432">
        <f>depths!$B$4</f>
        <v>3854.6</v>
      </c>
      <c r="AN68" s="376"/>
      <c r="AO68" s="155">
        <f t="shared" si="51"/>
        <v>267.00230864505107</v>
      </c>
      <c r="AP68" s="431">
        <v>1</v>
      </c>
      <c r="AQ68" s="155">
        <f t="shared" si="52"/>
        <v>9.8048412150168307</v>
      </c>
      <c r="AR68" s="431">
        <v>1</v>
      </c>
      <c r="AS68" s="155">
        <f t="shared" si="53"/>
        <v>86.852468858328592</v>
      </c>
      <c r="AT68" s="431">
        <v>1</v>
      </c>
      <c r="AU68" s="155">
        <f t="shared" si="54"/>
        <v>180.14983978672254</v>
      </c>
      <c r="AV68" s="431">
        <v>1</v>
      </c>
      <c r="AW68" s="155">
        <f t="shared" si="55"/>
        <v>33.230061823108869</v>
      </c>
      <c r="AX68" s="431">
        <v>1</v>
      </c>
      <c r="AY68" s="155">
        <f t="shared" si="56"/>
        <v>8.8581208969817578</v>
      </c>
      <c r="AZ68" s="155">
        <f t="shared" si="57"/>
        <v>18.373560146064364</v>
      </c>
      <c r="BA68" s="155">
        <f>main!R75</f>
        <v>40.450000000000003</v>
      </c>
      <c r="BB68" s="431">
        <v>1</v>
      </c>
      <c r="BC68" s="155">
        <f>main!S75</f>
        <v>8.57</v>
      </c>
      <c r="BD68" s="431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B04CA-660D-462D-91C1-854412E4721A}">
  <dimension ref="A1:AK75"/>
  <sheetViews>
    <sheetView tabSelected="1" topLeftCell="F1" workbookViewId="0">
      <selection activeCell="M13" sqref="M13:M75"/>
    </sheetView>
  </sheetViews>
  <sheetFormatPr defaultRowHeight="15"/>
  <cols>
    <col min="5" max="5" width="49.42578125" customWidth="1"/>
    <col min="10" max="10" width="23.7109375" bestFit="1" customWidth="1"/>
    <col min="11" max="12" width="10.42578125" bestFit="1" customWidth="1"/>
    <col min="13" max="13" width="26.5703125" customWidth="1"/>
  </cols>
  <sheetData>
    <row r="1" spans="1:37" s="127" customFormat="1">
      <c r="A1" s="127" t="s">
        <v>2297</v>
      </c>
      <c r="B1" s="127" t="s">
        <v>2298</v>
      </c>
      <c r="C1" s="127" t="s">
        <v>2299</v>
      </c>
      <c r="D1" s="439" t="s">
        <v>2300</v>
      </c>
      <c r="E1" s="127" t="s">
        <v>24</v>
      </c>
      <c r="F1" s="440" t="s">
        <v>2301</v>
      </c>
      <c r="G1" s="440" t="s">
        <v>2302</v>
      </c>
      <c r="H1" s="441" t="s">
        <v>2303</v>
      </c>
      <c r="I1" s="441" t="s">
        <v>2304</v>
      </c>
      <c r="J1" s="442" t="s">
        <v>2305</v>
      </c>
      <c r="K1" s="440" t="s">
        <v>2306</v>
      </c>
      <c r="L1" s="440" t="s">
        <v>2307</v>
      </c>
      <c r="M1" s="443" t="s">
        <v>2308</v>
      </c>
      <c r="N1" s="444" t="s">
        <v>2309</v>
      </c>
      <c r="O1" s="444" t="s">
        <v>2310</v>
      </c>
      <c r="P1" s="445" t="s">
        <v>2311</v>
      </c>
      <c r="Q1" s="446" t="s">
        <v>2312</v>
      </c>
      <c r="R1" s="446" t="s">
        <v>2313</v>
      </c>
      <c r="S1" s="446" t="s">
        <v>2314</v>
      </c>
      <c r="T1" s="446" t="s">
        <v>2315</v>
      </c>
      <c r="U1" s="446" t="s">
        <v>2316</v>
      </c>
      <c r="V1" s="445" t="s">
        <v>2317</v>
      </c>
      <c r="W1" s="447" t="s">
        <v>2318</v>
      </c>
      <c r="X1" s="447" t="s">
        <v>2319</v>
      </c>
      <c r="Y1" s="439" t="s">
        <v>2320</v>
      </c>
      <c r="Z1" s="447" t="s">
        <v>2321</v>
      </c>
      <c r="AA1" s="447" t="s">
        <v>2322</v>
      </c>
      <c r="AB1" s="447" t="s">
        <v>2323</v>
      </c>
      <c r="AC1" s="447" t="s">
        <v>2324</v>
      </c>
      <c r="AD1" s="447" t="s">
        <v>2325</v>
      </c>
      <c r="AE1" s="439" t="s">
        <v>2326</v>
      </c>
      <c r="AF1" s="447" t="s">
        <v>2327</v>
      </c>
      <c r="AG1" s="447" t="s">
        <v>2328</v>
      </c>
      <c r="AH1" s="127" t="s">
        <v>2329</v>
      </c>
      <c r="AI1" s="3" t="s">
        <v>2330</v>
      </c>
      <c r="AJ1" s="3" t="s">
        <v>2331</v>
      </c>
      <c r="AK1" s="127" t="s">
        <v>2332</v>
      </c>
    </row>
    <row r="2" spans="1:37" s="150" customFormat="1" ht="15.75">
      <c r="D2" s="160"/>
      <c r="F2" s="448" t="s">
        <v>2333</v>
      </c>
      <c r="G2" s="448"/>
      <c r="H2" s="449"/>
      <c r="I2" s="449"/>
      <c r="J2" s="448"/>
      <c r="K2" s="448"/>
      <c r="L2" s="448"/>
      <c r="M2" s="160"/>
      <c r="N2" s="450"/>
      <c r="O2" s="450"/>
      <c r="P2" s="451"/>
      <c r="Q2" s="452"/>
      <c r="R2" s="452"/>
      <c r="S2" s="452"/>
      <c r="T2" s="452"/>
      <c r="U2" s="452"/>
      <c r="V2" s="451"/>
      <c r="W2" s="453"/>
      <c r="X2" s="453"/>
      <c r="Y2" s="160"/>
      <c r="AC2" s="454"/>
      <c r="AD2" s="454"/>
      <c r="AE2" s="160"/>
      <c r="AF2" s="455"/>
      <c r="AG2" s="455"/>
      <c r="AI2" s="456"/>
      <c r="AJ2" s="456"/>
    </row>
    <row r="3" spans="1:37" s="150" customFormat="1" ht="15.75">
      <c r="A3" s="150" t="s">
        <v>26</v>
      </c>
      <c r="D3" s="457" t="s">
        <v>2334</v>
      </c>
      <c r="F3" s="188" t="s">
        <v>2335</v>
      </c>
      <c r="G3" s="188"/>
      <c r="H3" s="449" t="s">
        <v>2336</v>
      </c>
      <c r="I3" s="449"/>
      <c r="J3" s="448"/>
      <c r="K3" s="448"/>
      <c r="L3" s="448"/>
      <c r="M3" s="160" t="s">
        <v>2337</v>
      </c>
      <c r="N3" s="450" t="s">
        <v>2338</v>
      </c>
      <c r="O3" s="450"/>
      <c r="P3" s="458"/>
      <c r="Q3" s="452" t="s">
        <v>2339</v>
      </c>
      <c r="R3" s="452"/>
      <c r="S3" s="453"/>
      <c r="T3" s="459" t="s">
        <v>2340</v>
      </c>
      <c r="U3" s="459"/>
      <c r="V3" s="458"/>
      <c r="W3" s="453" t="s">
        <v>2341</v>
      </c>
      <c r="X3" s="453"/>
      <c r="Y3" s="460"/>
      <c r="Z3" s="461" t="s">
        <v>2342</v>
      </c>
      <c r="AA3" s="461"/>
      <c r="AB3" s="453"/>
      <c r="AC3" s="453" t="s">
        <v>2343</v>
      </c>
      <c r="AD3" s="453"/>
      <c r="AE3" s="460"/>
      <c r="AF3" s="453" t="s">
        <v>2344</v>
      </c>
      <c r="AG3" s="453"/>
      <c r="AH3" s="453"/>
      <c r="AI3" s="453" t="s">
        <v>2345</v>
      </c>
      <c r="AJ3" s="453"/>
      <c r="AK3" s="453"/>
    </row>
    <row r="4" spans="1:37" s="150" customFormat="1">
      <c r="A4" s="188" t="s">
        <v>2369</v>
      </c>
      <c r="C4" s="150" t="s">
        <v>2293</v>
      </c>
      <c r="D4" s="179" t="s">
        <v>2290</v>
      </c>
      <c r="F4" s="188" t="s">
        <v>2346</v>
      </c>
      <c r="G4" s="188"/>
      <c r="H4" s="449">
        <v>1</v>
      </c>
      <c r="I4" s="449"/>
      <c r="J4" s="448" t="s">
        <v>2347</v>
      </c>
      <c r="K4" s="448" t="s">
        <v>2347</v>
      </c>
      <c r="L4" s="448" t="s">
        <v>2347</v>
      </c>
      <c r="M4" s="160" t="s">
        <v>2348</v>
      </c>
      <c r="N4" s="450" t="s">
        <v>2349</v>
      </c>
      <c r="O4" s="450" t="s">
        <v>2349</v>
      </c>
      <c r="P4" s="458"/>
      <c r="Q4" s="462" t="s">
        <v>2350</v>
      </c>
      <c r="R4" s="462" t="s">
        <v>2350</v>
      </c>
      <c r="S4" s="453"/>
      <c r="T4" s="462" t="s">
        <v>2351</v>
      </c>
      <c r="U4" s="462" t="s">
        <v>2350</v>
      </c>
      <c r="V4" s="458"/>
      <c r="W4" s="450" t="s">
        <v>2349</v>
      </c>
      <c r="X4" s="450" t="s">
        <v>2349</v>
      </c>
      <c r="Y4" s="460"/>
      <c r="Z4" s="450" t="s">
        <v>2349</v>
      </c>
      <c r="AA4" s="450" t="s">
        <v>2349</v>
      </c>
      <c r="AB4" s="453"/>
      <c r="AC4" s="450" t="s">
        <v>2349</v>
      </c>
      <c r="AD4" s="450" t="s">
        <v>2349</v>
      </c>
      <c r="AE4" s="460"/>
      <c r="AF4" s="450" t="s">
        <v>2349</v>
      </c>
      <c r="AG4" s="450" t="s">
        <v>2349</v>
      </c>
      <c r="AH4" s="453"/>
      <c r="AI4" s="450" t="s">
        <v>2349</v>
      </c>
      <c r="AJ4" s="450" t="s">
        <v>2349</v>
      </c>
      <c r="AK4" s="453"/>
    </row>
    <row r="5" spans="1:37" s="459" customFormat="1" ht="15.75">
      <c r="F5" s="463" t="s">
        <v>2352</v>
      </c>
      <c r="G5" s="463"/>
      <c r="I5" s="464"/>
      <c r="J5" s="465"/>
      <c r="K5" s="465"/>
      <c r="L5" s="465"/>
      <c r="N5" s="466">
        <v>5.9999999999999995E-4</v>
      </c>
      <c r="O5" s="466"/>
      <c r="P5" s="453"/>
      <c r="Q5" s="467">
        <v>2.1999999999999999E-2</v>
      </c>
      <c r="R5" s="467"/>
      <c r="S5" s="468"/>
      <c r="T5" s="467">
        <v>2.9000000000000001E-2</v>
      </c>
      <c r="U5" s="467"/>
      <c r="V5" s="453"/>
      <c r="W5" s="469">
        <v>2.1000000000000001E-2</v>
      </c>
      <c r="X5" s="469"/>
      <c r="Y5" s="469"/>
      <c r="Z5" s="469">
        <v>3.7999999999999999E-2</v>
      </c>
      <c r="AA5" s="469"/>
      <c r="AB5" s="469"/>
      <c r="AC5" s="469">
        <v>2.8000000000000001E-2</v>
      </c>
      <c r="AD5" s="469"/>
      <c r="AE5" s="453"/>
      <c r="AF5" s="469">
        <v>1.9E-2</v>
      </c>
      <c r="AG5" s="469"/>
      <c r="AH5" s="460"/>
      <c r="AI5" s="469">
        <v>4.9000000000000002E-2</v>
      </c>
      <c r="AJ5" s="469"/>
    </row>
    <row r="6" spans="1:37" s="150" customFormat="1" ht="15.75">
      <c r="D6" s="459">
        <v>3</v>
      </c>
      <c r="F6" s="150" t="s">
        <v>2353</v>
      </c>
    </row>
    <row r="7" spans="1:37" s="150" customFormat="1">
      <c r="C7" s="150" t="s">
        <v>2278</v>
      </c>
      <c r="D7" s="376" t="s">
        <v>2288</v>
      </c>
      <c r="F7" s="188" t="s">
        <v>2354</v>
      </c>
      <c r="G7" s="188"/>
      <c r="I7" s="449"/>
      <c r="J7" s="448"/>
      <c r="K7" s="448"/>
      <c r="L7" s="448"/>
      <c r="M7" s="160"/>
      <c r="N7" s="450" t="s">
        <v>1784</v>
      </c>
      <c r="O7" s="450"/>
      <c r="P7" s="458"/>
      <c r="Q7" s="453" t="s">
        <v>2355</v>
      </c>
      <c r="R7" s="453"/>
      <c r="S7" s="453"/>
      <c r="T7" s="453" t="s">
        <v>2355</v>
      </c>
      <c r="U7" s="453"/>
      <c r="V7" s="458"/>
      <c r="W7" s="453" t="s">
        <v>1784</v>
      </c>
      <c r="X7" s="453"/>
      <c r="Y7" s="460"/>
      <c r="Z7" s="453" t="s">
        <v>1784</v>
      </c>
      <c r="AA7" s="453"/>
      <c r="AB7" s="453"/>
      <c r="AC7" s="453" t="s">
        <v>1784</v>
      </c>
      <c r="AD7" s="453"/>
      <c r="AE7" s="460"/>
      <c r="AF7" s="453" t="s">
        <v>1784</v>
      </c>
      <c r="AG7" s="453"/>
      <c r="AH7" s="453"/>
      <c r="AI7" s="453" t="s">
        <v>1784</v>
      </c>
      <c r="AJ7" s="453"/>
      <c r="AK7" s="453"/>
    </row>
    <row r="8" spans="1:37" s="150" customFormat="1">
      <c r="D8" s="376" t="s">
        <v>2356</v>
      </c>
      <c r="F8" s="188" t="s">
        <v>2357</v>
      </c>
      <c r="G8" s="188"/>
      <c r="H8" s="449"/>
      <c r="I8" s="449"/>
      <c r="J8" s="448"/>
      <c r="K8" s="448"/>
      <c r="L8" s="448"/>
      <c r="M8" s="160"/>
      <c r="N8" s="450" t="s">
        <v>2358</v>
      </c>
      <c r="O8" s="450"/>
      <c r="P8" s="458"/>
      <c r="Q8" s="470" t="s">
        <v>2359</v>
      </c>
      <c r="R8" s="453"/>
      <c r="S8" s="453"/>
      <c r="T8" s="470" t="s">
        <v>2360</v>
      </c>
      <c r="U8" s="470"/>
      <c r="V8" s="458"/>
      <c r="W8" s="453" t="s">
        <v>2361</v>
      </c>
      <c r="X8" s="453"/>
      <c r="Y8" s="460"/>
      <c r="Z8" s="453" t="s">
        <v>2362</v>
      </c>
      <c r="AA8" s="453"/>
      <c r="AB8" s="453"/>
      <c r="AC8" s="453" t="s">
        <v>2363</v>
      </c>
      <c r="AD8" s="453"/>
      <c r="AE8" s="460"/>
      <c r="AF8" s="453" t="s">
        <v>2364</v>
      </c>
      <c r="AG8" s="453"/>
      <c r="AH8" s="453"/>
      <c r="AI8" s="453" t="s">
        <v>2365</v>
      </c>
      <c r="AJ8" s="453"/>
      <c r="AK8" s="453"/>
    </row>
    <row r="9" spans="1:37" s="499" customFormat="1">
      <c r="F9" s="499" t="s">
        <v>2366</v>
      </c>
      <c r="G9" s="499">
        <v>1000</v>
      </c>
      <c r="H9" s="499" t="s">
        <v>2370</v>
      </c>
      <c r="I9" s="500"/>
      <c r="J9" s="501"/>
      <c r="K9" s="501"/>
      <c r="L9" s="501"/>
      <c r="M9" s="502"/>
      <c r="N9" s="450"/>
      <c r="O9" s="450"/>
      <c r="P9" s="453"/>
      <c r="Q9" s="453"/>
      <c r="R9" s="453"/>
      <c r="S9" s="453"/>
      <c r="T9" s="453"/>
      <c r="U9" s="453"/>
      <c r="V9" s="453"/>
      <c r="W9" s="453"/>
      <c r="X9" s="453"/>
      <c r="Y9" s="460"/>
      <c r="Z9" s="453"/>
      <c r="AA9" s="453"/>
      <c r="AB9" s="453"/>
      <c r="AC9" s="453"/>
      <c r="AD9" s="453"/>
      <c r="AE9" s="460"/>
      <c r="AF9" s="453"/>
      <c r="AG9" s="453"/>
      <c r="AH9" s="453"/>
      <c r="AI9" s="453"/>
      <c r="AJ9" s="453"/>
      <c r="AK9" s="453"/>
    </row>
    <row r="10" spans="1:37" s="477" customFormat="1" ht="15.75">
      <c r="H10" s="482"/>
      <c r="I10" s="471"/>
      <c r="J10" s="478"/>
      <c r="K10" s="478"/>
      <c r="L10" s="478"/>
      <c r="M10" s="479"/>
      <c r="N10" s="480"/>
      <c r="O10" s="480"/>
      <c r="P10" s="455"/>
      <c r="Q10" s="455"/>
      <c r="R10" s="455"/>
      <c r="S10" s="455"/>
      <c r="T10" s="455"/>
      <c r="U10" s="455"/>
      <c r="V10" s="455"/>
      <c r="W10" s="455"/>
      <c r="X10" s="455"/>
      <c r="Y10" s="481"/>
      <c r="Z10" s="455"/>
      <c r="AA10" s="455"/>
      <c r="AB10" s="455"/>
      <c r="AC10" s="455"/>
      <c r="AD10" s="455"/>
      <c r="AE10" s="481"/>
      <c r="AF10" s="455"/>
      <c r="AG10" s="455"/>
      <c r="AH10" s="455"/>
      <c r="AI10" s="455"/>
      <c r="AJ10" s="455"/>
      <c r="AK10" s="455"/>
    </row>
    <row r="11" spans="1:37" s="150" customFormat="1" ht="15.75">
      <c r="D11" s="457">
        <v>-2</v>
      </c>
      <c r="F11" s="472" t="s">
        <v>2367</v>
      </c>
      <c r="G11" s="472"/>
      <c r="H11" s="471"/>
      <c r="I11" s="471"/>
      <c r="J11" s="448"/>
      <c r="K11" s="448"/>
      <c r="L11" s="448"/>
      <c r="M11" s="160"/>
      <c r="N11" s="473">
        <v>-10</v>
      </c>
      <c r="O11" s="450"/>
      <c r="P11" s="458"/>
      <c r="Q11" s="474">
        <v>20</v>
      </c>
      <c r="R11" s="453"/>
      <c r="S11" s="453"/>
      <c r="T11" s="474">
        <v>2</v>
      </c>
      <c r="U11" s="453"/>
      <c r="V11" s="458"/>
      <c r="W11" s="431">
        <v>-1</v>
      </c>
      <c r="X11" s="453"/>
      <c r="Y11" s="460"/>
      <c r="Z11" s="431">
        <v>-1</v>
      </c>
      <c r="AA11" s="453"/>
      <c r="AB11" s="453"/>
      <c r="AC11" s="431">
        <v>-1</v>
      </c>
      <c r="AD11" s="453"/>
      <c r="AE11" s="460"/>
      <c r="AF11" s="431">
        <v>-1</v>
      </c>
      <c r="AG11" s="453"/>
      <c r="AH11" s="453"/>
      <c r="AI11" s="431">
        <v>-1</v>
      </c>
      <c r="AJ11" s="453"/>
      <c r="AK11" s="453"/>
    </row>
    <row r="12" spans="1:37" s="376" customFormat="1" ht="15.75">
      <c r="D12" s="457">
        <v>12000</v>
      </c>
      <c r="E12" s="150"/>
      <c r="F12" s="472" t="s">
        <v>2368</v>
      </c>
      <c r="G12" s="472"/>
      <c r="H12" s="471"/>
      <c r="I12" s="471"/>
      <c r="J12" s="448"/>
      <c r="K12" s="448"/>
      <c r="L12" s="448"/>
      <c r="M12" s="160"/>
      <c r="N12" s="473">
        <v>1000</v>
      </c>
      <c r="O12" s="450"/>
      <c r="P12" s="458"/>
      <c r="Q12" s="474">
        <v>60</v>
      </c>
      <c r="R12" s="453"/>
      <c r="S12" s="453"/>
      <c r="T12" s="474">
        <v>12</v>
      </c>
      <c r="U12" s="453"/>
      <c r="V12" s="458"/>
      <c r="W12" s="431">
        <v>100</v>
      </c>
      <c r="X12" s="453"/>
      <c r="Y12" s="460"/>
      <c r="Z12" s="431">
        <v>100</v>
      </c>
      <c r="AA12" s="453"/>
      <c r="AB12" s="453"/>
      <c r="AC12" s="431">
        <v>100</v>
      </c>
      <c r="AD12" s="453"/>
      <c r="AE12" s="460"/>
      <c r="AF12" s="431">
        <v>100</v>
      </c>
      <c r="AG12" s="453"/>
      <c r="AH12" s="453"/>
      <c r="AI12" s="431">
        <v>100</v>
      </c>
      <c r="AJ12" s="453"/>
      <c r="AK12" s="453"/>
    </row>
    <row r="13" spans="1:37" s="376" customFormat="1" ht="15.75">
      <c r="A13" s="376">
        <f>report_47_flagged!A6</f>
        <v>2020</v>
      </c>
      <c r="B13" s="376" t="str">
        <f>LEFT(report_47_flagged!B6,2)</f>
        <v>47</v>
      </c>
      <c r="C13" s="376">
        <f>report_47_flagged!E6</f>
        <v>1000</v>
      </c>
      <c r="D13" s="151">
        <f>report_47_flagged!AM6</f>
        <v>995.00000000000011</v>
      </c>
      <c r="E13" s="376" t="str">
        <f>report_47_flagged!D6</f>
        <v>McLane-PARFLUX-Mark78H-21 ; frame# 12419-01, controller# 12419-01 and Motor # 12419-01 Cup set AAx21</v>
      </c>
      <c r="H13" s="376">
        <f>report_47_flagged!C6</f>
        <v>1</v>
      </c>
      <c r="I13" s="376">
        <f>report_47_flagged!F6</f>
        <v>1</v>
      </c>
      <c r="J13" s="139">
        <f>report_47_flagged!AC6</f>
        <v>44082</v>
      </c>
      <c r="K13" s="139">
        <f>report_47_flagged!AD6</f>
        <v>44092</v>
      </c>
      <c r="L13" s="139">
        <f>report_47_flagged!AE6</f>
        <v>44087</v>
      </c>
      <c r="M13" s="151">
        <f>report_47_flagged!AF6</f>
        <v>10</v>
      </c>
      <c r="N13" s="125">
        <f>report_47_flagged!H6</f>
        <v>45.634285714285717</v>
      </c>
      <c r="O13" s="125">
        <f>N13*$N$5</f>
        <v>2.7380571428571428E-2</v>
      </c>
      <c r="P13" s="125">
        <f>report_47_flagged!J6</f>
        <v>1</v>
      </c>
      <c r="Q13" s="475">
        <f>report_47_flagged!BA6</f>
        <v>39.840000000000003</v>
      </c>
      <c r="R13" s="475">
        <f>Q13*$Q$5</f>
        <v>0.87648000000000004</v>
      </c>
      <c r="S13" s="476">
        <f>report_47_flagged!BB6</f>
        <v>1</v>
      </c>
      <c r="T13" s="475">
        <f>report_47_flagged!BC6</f>
        <v>8.42</v>
      </c>
      <c r="U13" s="475">
        <f>T13*$T$5</f>
        <v>0.24418000000000001</v>
      </c>
      <c r="V13" s="476">
        <f>report_47_flagged!BD6</f>
        <v>1</v>
      </c>
      <c r="W13" s="155">
        <f>(report_47_flagged!N6/100)*report_47_flagged!H6</f>
        <v>7.3141936261858262</v>
      </c>
      <c r="X13" s="155">
        <f>W13*SQRT(($W$5)^2+($N$5)^2)</f>
        <v>0.15366074644883856</v>
      </c>
      <c r="Y13" s="151">
        <f>report_47_flagged!AP6</f>
        <v>1</v>
      </c>
      <c r="Z13" s="155">
        <f>(report_47_flagged!P6/100)*report_47_flagged!H6</f>
        <v>0.63066184342248099</v>
      </c>
      <c r="AA13" s="155">
        <f>Z13*SQRT(($Z$5)^2+($N$5)^2)</f>
        <v>2.396813720945969E-2</v>
      </c>
      <c r="AB13" s="151">
        <f>report_47_flagged!AR6</f>
        <v>1</v>
      </c>
      <c r="AC13" s="155">
        <f>(report_47_flagged!R6/100)*report_47_flagged!H6</f>
        <v>3.9590732393536769</v>
      </c>
      <c r="AD13" s="155">
        <f>AC13*SQRT(($AC$5)^2+($N$5)^2)</f>
        <v>0.11087949896599153</v>
      </c>
      <c r="AE13" s="151">
        <f>report_47_flagged!AT6</f>
        <v>1</v>
      </c>
      <c r="AF13" s="155">
        <f>(report_47_flagged!L6/100)*report_47_flagged!H6</f>
        <v>3.3551203868321502</v>
      </c>
      <c r="AG13" s="155">
        <f>AF13*SQRT(($AF$5)^2+($N$5)^2)</f>
        <v>6.3779064780466979E-2</v>
      </c>
      <c r="AH13" s="151">
        <f>report_47_flagged!AV6</f>
        <v>1</v>
      </c>
      <c r="AI13" s="155">
        <f>(report_47_flagged!T6/100)*report_47_flagged!H6</f>
        <v>2.2460329106654453</v>
      </c>
      <c r="AJ13" s="155">
        <f>AI13*SQRT(($AI$5)^2+($N$5)^2)</f>
        <v>0.1100638630464976</v>
      </c>
      <c r="AK13" s="151">
        <f>report_47_flagged!AX6</f>
        <v>1</v>
      </c>
    </row>
    <row r="14" spans="1:37" ht="15.75">
      <c r="A14" s="376">
        <f>report_47_flagged!A7</f>
        <v>2020</v>
      </c>
      <c r="B14" s="376" t="str">
        <f>LEFT(report_47_flagged!B7,2)</f>
        <v>47</v>
      </c>
      <c r="C14" s="376">
        <f>report_47_flagged!E7</f>
        <v>1000</v>
      </c>
      <c r="D14" s="151">
        <f>report_47_flagged!AM7</f>
        <v>995.00000000000011</v>
      </c>
      <c r="E14" s="376" t="str">
        <f>report_47_flagged!D7</f>
        <v>McLane-PARFLUX-Mark78H-21 ; frame# 12419-01, controller# 12419-01 and Motor # 12419-01 Cup set AAx21</v>
      </c>
      <c r="F14" s="376"/>
      <c r="G14" s="376"/>
      <c r="H14" s="376">
        <f>report_47_flagged!C7</f>
        <v>2</v>
      </c>
      <c r="I14" s="376">
        <f>report_47_flagged!F7</f>
        <v>1</v>
      </c>
      <c r="J14" s="139">
        <f>report_47_flagged!AC7</f>
        <v>44092</v>
      </c>
      <c r="K14" s="139">
        <f>report_47_flagged!AD7</f>
        <v>44102</v>
      </c>
      <c r="L14" s="139">
        <f>report_47_flagged!AE7</f>
        <v>44097</v>
      </c>
      <c r="M14" s="151">
        <f>report_47_flagged!AF7</f>
        <v>10</v>
      </c>
      <c r="N14" s="125">
        <f>report_47_flagged!H7</f>
        <v>88.308571428571426</v>
      </c>
      <c r="O14" s="125">
        <f t="shared" ref="O14:O75" si="0">N14*$N$5</f>
        <v>5.2985142857142849E-2</v>
      </c>
      <c r="P14" s="125">
        <f>report_47_flagged!J7</f>
        <v>3</v>
      </c>
      <c r="Q14" s="475">
        <f>report_47_flagged!BA7</f>
        <v>40.11</v>
      </c>
      <c r="R14" s="475">
        <f t="shared" ref="R14:R75" si="1">Q14*$Q$5</f>
        <v>0.88241999999999998</v>
      </c>
      <c r="S14" s="476">
        <f>report_47_flagged!BB7</f>
        <v>1</v>
      </c>
      <c r="T14" s="475">
        <f>report_47_flagged!BC7</f>
        <v>8.48</v>
      </c>
      <c r="U14" s="475">
        <f t="shared" ref="U14:U75" si="2">T14*$T$5</f>
        <v>0.24592000000000003</v>
      </c>
      <c r="V14" s="476">
        <f>report_47_flagged!BD7</f>
        <v>1</v>
      </c>
      <c r="W14" s="155">
        <f>(report_47_flagged!N7/100)*report_47_flagged!H7</f>
        <v>12.746164451817103</v>
      </c>
      <c r="X14" s="155">
        <f t="shared" ref="X14:X75" si="3">W14*SQRT(($W$5)^2+($N$5)^2)</f>
        <v>0.26777868403891597</v>
      </c>
      <c r="Y14" s="151">
        <f>report_47_flagged!AP7</f>
        <v>3</v>
      </c>
      <c r="Z14" s="155">
        <f>(report_47_flagged!P7/100)*report_47_flagged!H7</f>
        <v>0.95494976442881985</v>
      </c>
      <c r="AA14" s="155">
        <f t="shared" ref="AA14:AA75" si="4">Z14*SQRT(($Z$5)^2+($N$5)^2)</f>
        <v>3.6292614212650599E-2</v>
      </c>
      <c r="AB14" s="151">
        <f>report_47_flagged!AR7</f>
        <v>3</v>
      </c>
      <c r="AC14" s="155">
        <f>(report_47_flagged!R7/100)*report_47_flagged!H7</f>
        <v>6.0381900518999236</v>
      </c>
      <c r="AD14" s="155">
        <f t="shared" ref="AD14:AD75" si="5">AC14*SQRT(($AC$5)^2+($N$5)^2)</f>
        <v>0.16910813393424276</v>
      </c>
      <c r="AE14" s="151">
        <f>report_47_flagged!AT7</f>
        <v>3</v>
      </c>
      <c r="AF14" s="155">
        <f>(report_47_flagged!L7/100)*report_47_flagged!H7</f>
        <v>6.7079743999171804</v>
      </c>
      <c r="AG14" s="155">
        <f t="shared" ref="AG14:AG75" si="6">AF14*SQRT(($AF$5)^2+($N$5)^2)</f>
        <v>0.1275150469941797</v>
      </c>
      <c r="AH14" s="151">
        <f>report_47_flagged!AV7</f>
        <v>3</v>
      </c>
      <c r="AI14" s="155">
        <f>(report_47_flagged!T7/100)*report_47_flagged!H7</f>
        <v>5.0853842058642718</v>
      </c>
      <c r="AJ14" s="155">
        <f t="shared" ref="AJ14:AJ75" si="7">AI14*SQRT(($AI$5)^2+($N$5)^2)</f>
        <v>0.24920250639036118</v>
      </c>
      <c r="AK14" s="151">
        <f>report_47_flagged!AX7</f>
        <v>3</v>
      </c>
    </row>
    <row r="15" spans="1:37" ht="15.75">
      <c r="A15" s="376">
        <f>report_47_flagged!A8</f>
        <v>2020</v>
      </c>
      <c r="B15" s="376" t="str">
        <f>LEFT(report_47_flagged!B8,2)</f>
        <v>47</v>
      </c>
      <c r="C15" s="376">
        <f>report_47_flagged!E8</f>
        <v>1000</v>
      </c>
      <c r="D15" s="151">
        <f>report_47_flagged!AM8</f>
        <v>995.00000000000011</v>
      </c>
      <c r="E15" s="376" t="str">
        <f>report_47_flagged!D8</f>
        <v>McLane-PARFLUX-Mark78H-21 ; frame# 12419-01, controller# 12419-01 and Motor # 12419-01 Cup set AAx21</v>
      </c>
      <c r="F15" s="376"/>
      <c r="G15" s="376"/>
      <c r="H15" s="376">
        <f>report_47_flagged!C8</f>
        <v>3</v>
      </c>
      <c r="I15" s="376">
        <f>report_47_flagged!F8</f>
        <v>1</v>
      </c>
      <c r="J15" s="139">
        <f>report_47_flagged!AC8</f>
        <v>44102</v>
      </c>
      <c r="K15" s="139">
        <f>report_47_flagged!AD8</f>
        <v>44112</v>
      </c>
      <c r="L15" s="139">
        <f>report_47_flagged!AE8</f>
        <v>44107</v>
      </c>
      <c r="M15" s="151">
        <f>report_47_flagged!AF8</f>
        <v>10</v>
      </c>
      <c r="N15" s="125">
        <f>report_47_flagged!H8</f>
        <v>70.302857142857135</v>
      </c>
      <c r="O15" s="125">
        <f t="shared" si="0"/>
        <v>4.2181714285714281E-2</v>
      </c>
      <c r="P15" s="125">
        <f>report_47_flagged!J8</f>
        <v>1</v>
      </c>
      <c r="Q15" s="475">
        <f>report_47_flagged!BA8</f>
        <v>40.39</v>
      </c>
      <c r="R15" s="475">
        <f t="shared" si="1"/>
        <v>0.88857999999999993</v>
      </c>
      <c r="S15" s="476">
        <f>report_47_flagged!BB8</f>
        <v>1</v>
      </c>
      <c r="T15" s="475">
        <f>report_47_flagged!BC8</f>
        <v>8.4550000000000001</v>
      </c>
      <c r="U15" s="475">
        <f t="shared" si="2"/>
        <v>0.24519500000000002</v>
      </c>
      <c r="V15" s="476">
        <f>report_47_flagged!BD8</f>
        <v>1</v>
      </c>
      <c r="W15" s="155">
        <f>(report_47_flagged!N8/100)*report_47_flagged!H8</f>
        <v>10.339826559121267</v>
      </c>
      <c r="X15" s="155">
        <f t="shared" si="3"/>
        <v>0.21722496674655764</v>
      </c>
      <c r="Y15" s="151">
        <f>report_47_flagged!AP8</f>
        <v>1</v>
      </c>
      <c r="Z15" s="155">
        <f>(report_47_flagged!P8/100)*report_47_flagged!H8</f>
        <v>0.72148424808638423</v>
      </c>
      <c r="AA15" s="155">
        <f t="shared" si="4"/>
        <v>2.7419818771268138E-2</v>
      </c>
      <c r="AB15" s="151">
        <f>report_47_flagged!AR8</f>
        <v>1</v>
      </c>
      <c r="AC15" s="155">
        <f>(report_47_flagged!R8/100)*report_47_flagged!H8</f>
        <v>4.7316424247486735</v>
      </c>
      <c r="AD15" s="155">
        <f t="shared" si="5"/>
        <v>0.13251640210323834</v>
      </c>
      <c r="AE15" s="151">
        <f>report_47_flagged!AT8</f>
        <v>1</v>
      </c>
      <c r="AF15" s="155">
        <f>(report_47_flagged!L8/100)*report_47_flagged!H8</f>
        <v>5.6081841343725936</v>
      </c>
      <c r="AG15" s="155">
        <f t="shared" si="6"/>
        <v>0.10660861547941559</v>
      </c>
      <c r="AH15" s="151">
        <f>report_47_flagged!AV8</f>
        <v>1</v>
      </c>
      <c r="AI15" s="155">
        <f>(report_47_flagged!T8/100)*report_47_flagged!H8</f>
        <v>2.9870231173993314</v>
      </c>
      <c r="AJ15" s="155">
        <f t="shared" si="7"/>
        <v>0.14637510507927406</v>
      </c>
      <c r="AK15" s="151">
        <f>report_47_flagged!AX8</f>
        <v>1</v>
      </c>
    </row>
    <row r="16" spans="1:37" ht="15.75">
      <c r="A16" s="376">
        <f>report_47_flagged!A9</f>
        <v>2020</v>
      </c>
      <c r="B16" s="376" t="str">
        <f>LEFT(report_47_flagged!B9,2)</f>
        <v>47</v>
      </c>
      <c r="C16" s="376">
        <f>report_47_flagged!E9</f>
        <v>1000</v>
      </c>
      <c r="D16" s="151">
        <f>report_47_flagged!AM9</f>
        <v>995.00000000000011</v>
      </c>
      <c r="E16" s="376" t="str">
        <f>report_47_flagged!D9</f>
        <v>McLane-PARFLUX-Mark78H-21 ; frame# 12419-01, controller# 12419-01 and Motor # 12419-01 Cup set AAx21</v>
      </c>
      <c r="F16" s="376"/>
      <c r="G16" s="376"/>
      <c r="H16" s="376">
        <f>report_47_flagged!C9</f>
        <v>4</v>
      </c>
      <c r="I16" s="376">
        <f>report_47_flagged!F9</f>
        <v>1</v>
      </c>
      <c r="J16" s="139">
        <f>report_47_flagged!AC9</f>
        <v>44112</v>
      </c>
      <c r="K16" s="139">
        <f>report_47_flagged!AD9</f>
        <v>44122</v>
      </c>
      <c r="L16" s="139">
        <f>report_47_flagged!AE9</f>
        <v>44117</v>
      </c>
      <c r="M16" s="151">
        <f>report_47_flagged!AF9</f>
        <v>10</v>
      </c>
      <c r="N16" s="125">
        <f>report_47_flagged!H9</f>
        <v>78.214285714285708</v>
      </c>
      <c r="O16" s="125">
        <f t="shared" si="0"/>
        <v>4.6928571428571424E-2</v>
      </c>
      <c r="P16" s="125">
        <f>report_47_flagged!J9</f>
        <v>1</v>
      </c>
      <c r="Q16" s="475">
        <f>report_47_flagged!BA9</f>
        <v>40.06</v>
      </c>
      <c r="R16" s="475">
        <f t="shared" si="1"/>
        <v>0.88131999999999999</v>
      </c>
      <c r="S16" s="476">
        <f>report_47_flagged!BB9</f>
        <v>1</v>
      </c>
      <c r="T16" s="475">
        <f>report_47_flagged!BC9</f>
        <v>8.34</v>
      </c>
      <c r="U16" s="475">
        <f t="shared" si="2"/>
        <v>0.24186000000000002</v>
      </c>
      <c r="V16" s="476">
        <f>report_47_flagged!BD9</f>
        <v>1</v>
      </c>
      <c r="W16" s="155">
        <f>(report_47_flagged!N9/100)*report_47_flagged!H9</f>
        <v>13.645327765601023</v>
      </c>
      <c r="X16" s="155">
        <f t="shared" si="3"/>
        <v>0.28666881917025766</v>
      </c>
      <c r="Y16" s="151">
        <f>report_47_flagged!AP9</f>
        <v>3</v>
      </c>
      <c r="Z16" s="155">
        <f>(report_47_flagged!P9/100)*report_47_flagged!H9</f>
        <v>1.1771755316427774</v>
      </c>
      <c r="AA16" s="155">
        <f t="shared" si="4"/>
        <v>4.4738245949551905E-2</v>
      </c>
      <c r="AB16" s="151">
        <f>report_47_flagged!AR9</f>
        <v>3</v>
      </c>
      <c r="AC16" s="155">
        <f>(report_47_flagged!R9/100)*report_47_flagged!H9</f>
        <v>7.8811651014254496</v>
      </c>
      <c r="AD16" s="155">
        <f t="shared" si="5"/>
        <v>0.22072328165794938</v>
      </c>
      <c r="AE16" s="151">
        <f>report_47_flagged!AT9</f>
        <v>3</v>
      </c>
      <c r="AF16" s="155">
        <f>(report_47_flagged!L9/100)*report_47_flagged!H9</f>
        <v>5.7641626641755712</v>
      </c>
      <c r="AG16" s="155">
        <f t="shared" si="6"/>
        <v>0.10957368486879121</v>
      </c>
      <c r="AH16" s="151">
        <f>report_47_flagged!AV9</f>
        <v>3</v>
      </c>
      <c r="AI16" s="155">
        <f>(report_47_flagged!T9/100)*report_47_flagged!H9</f>
        <v>2.9028420066518326</v>
      </c>
      <c r="AJ16" s="155">
        <f t="shared" si="7"/>
        <v>0.14224992142750395</v>
      </c>
      <c r="AK16" s="151">
        <f>report_47_flagged!AX9</f>
        <v>1</v>
      </c>
    </row>
    <row r="17" spans="1:37" ht="15.75">
      <c r="A17" s="376">
        <f>report_47_flagged!A10</f>
        <v>2020</v>
      </c>
      <c r="B17" s="376" t="str">
        <f>LEFT(report_47_flagged!B10,2)</f>
        <v>47</v>
      </c>
      <c r="C17" s="376">
        <f>report_47_flagged!E10</f>
        <v>1000</v>
      </c>
      <c r="D17" s="151">
        <f>report_47_flagged!AM10</f>
        <v>995.00000000000011</v>
      </c>
      <c r="E17" s="376" t="str">
        <f>report_47_flagged!D10</f>
        <v>McLane-PARFLUX-Mark78H-21 ; frame# 12419-01, controller# 12419-01 and Motor # 12419-01 Cup set AAx21</v>
      </c>
      <c r="F17" s="376"/>
      <c r="G17" s="376"/>
      <c r="H17" s="376">
        <f>report_47_flagged!C10</f>
        <v>5</v>
      </c>
      <c r="I17" s="376">
        <f>report_47_flagged!F10</f>
        <v>1</v>
      </c>
      <c r="J17" s="139">
        <f>report_47_flagged!AC10</f>
        <v>44122</v>
      </c>
      <c r="K17" s="139">
        <f>report_47_flagged!AD10</f>
        <v>44132</v>
      </c>
      <c r="L17" s="139">
        <f>report_47_flagged!AE10</f>
        <v>44127</v>
      </c>
      <c r="M17" s="151">
        <f>report_47_flagged!AF10</f>
        <v>10</v>
      </c>
      <c r="N17" s="125">
        <f>report_47_flagged!H10</f>
        <v>102.38857142857144</v>
      </c>
      <c r="O17" s="125">
        <f t="shared" si="0"/>
        <v>6.143314285714286E-2</v>
      </c>
      <c r="P17" s="125">
        <f>report_47_flagged!J10</f>
        <v>1</v>
      </c>
      <c r="Q17" s="475">
        <f>report_47_flagged!BA10</f>
        <v>38.090000000000003</v>
      </c>
      <c r="R17" s="475">
        <f t="shared" si="1"/>
        <v>0.83798000000000006</v>
      </c>
      <c r="S17" s="476">
        <f>report_47_flagged!BB10</f>
        <v>1</v>
      </c>
      <c r="T17" s="475">
        <f>report_47_flagged!BC10</f>
        <v>8.4700000000000006</v>
      </c>
      <c r="U17" s="475">
        <f t="shared" si="2"/>
        <v>0.24563000000000004</v>
      </c>
      <c r="V17" s="476">
        <f>report_47_flagged!BD10</f>
        <v>1</v>
      </c>
      <c r="W17" s="155">
        <f>(report_47_flagged!N10/100)*report_47_flagged!H10</f>
        <v>15.120282983180457</v>
      </c>
      <c r="X17" s="155">
        <f t="shared" si="3"/>
        <v>0.3176555186336753</v>
      </c>
      <c r="Y17" s="151">
        <f>report_47_flagged!AP10</f>
        <v>1</v>
      </c>
      <c r="Z17" s="155">
        <f>(report_47_flagged!P10/100)*report_47_flagged!H10</f>
        <v>0.9670683867795129</v>
      </c>
      <c r="AA17" s="155">
        <f t="shared" si="4"/>
        <v>3.6753179262400182E-2</v>
      </c>
      <c r="AB17" s="151">
        <f>report_47_flagged!AR10</f>
        <v>1</v>
      </c>
      <c r="AC17" s="155">
        <f>(report_47_flagged!R10/100)*report_47_flagged!H10</f>
        <v>6.7662405506584546</v>
      </c>
      <c r="AD17" s="155">
        <f t="shared" si="5"/>
        <v>0.18949822768695768</v>
      </c>
      <c r="AE17" s="151">
        <f>report_47_flagged!AT10</f>
        <v>1</v>
      </c>
      <c r="AF17" s="155">
        <f>(report_47_flagged!L10/100)*report_47_flagged!H10</f>
        <v>8.354042432522002</v>
      </c>
      <c r="AG17" s="155">
        <f t="shared" si="6"/>
        <v>0.15880593005655574</v>
      </c>
      <c r="AH17" s="151">
        <f>report_47_flagged!AV10</f>
        <v>1</v>
      </c>
      <c r="AI17" s="155">
        <f>(report_47_flagged!T10/100)*report_47_flagged!H10</f>
        <v>4.0758520819239088</v>
      </c>
      <c r="AJ17" s="155">
        <f t="shared" si="7"/>
        <v>0.19973172397093</v>
      </c>
      <c r="AK17" s="151">
        <f>report_47_flagged!AX10</f>
        <v>1</v>
      </c>
    </row>
    <row r="18" spans="1:37" ht="15.75">
      <c r="A18" s="376">
        <f>report_47_flagged!A11</f>
        <v>2020</v>
      </c>
      <c r="B18" s="376" t="str">
        <f>LEFT(report_47_flagged!B11,2)</f>
        <v>47</v>
      </c>
      <c r="C18" s="376">
        <f>report_47_flagged!E11</f>
        <v>1000</v>
      </c>
      <c r="D18" s="151">
        <f>report_47_flagged!AM11</f>
        <v>995.00000000000011</v>
      </c>
      <c r="E18" s="376" t="str">
        <f>report_47_flagged!D11</f>
        <v>McLane-PARFLUX-Mark78H-21 ; frame# 12419-01, controller# 12419-01 and Motor # 12419-01 Cup set AAx21</v>
      </c>
      <c r="F18" s="376"/>
      <c r="G18" s="376"/>
      <c r="H18" s="376">
        <f>report_47_flagged!C11</f>
        <v>6</v>
      </c>
      <c r="I18" s="376">
        <f>report_47_flagged!F11</f>
        <v>1</v>
      </c>
      <c r="J18" s="139">
        <f>report_47_flagged!AC11</f>
        <v>44132</v>
      </c>
      <c r="K18" s="139">
        <f>report_47_flagged!AD11</f>
        <v>44142</v>
      </c>
      <c r="L18" s="139">
        <f>report_47_flagged!AE11</f>
        <v>44137</v>
      </c>
      <c r="M18" s="151">
        <f>report_47_flagged!AF11</f>
        <v>10</v>
      </c>
      <c r="N18" s="125">
        <f>report_47_flagged!H11</f>
        <v>88.151428571428568</v>
      </c>
      <c r="O18" s="125">
        <f t="shared" si="0"/>
        <v>5.2890857142857135E-2</v>
      </c>
      <c r="P18" s="125">
        <f>report_47_flagged!J11</f>
        <v>1</v>
      </c>
      <c r="Q18" s="475">
        <f>report_47_flagged!BA11</f>
        <v>37.96</v>
      </c>
      <c r="R18" s="475">
        <f t="shared" si="1"/>
        <v>0.83511999999999997</v>
      </c>
      <c r="S18" s="476">
        <f>report_47_flagged!BB11</f>
        <v>1</v>
      </c>
      <c r="T18" s="475">
        <f>report_47_flagged!BC11</f>
        <v>8.4600000000000009</v>
      </c>
      <c r="U18" s="475">
        <f t="shared" si="2"/>
        <v>0.24534000000000003</v>
      </c>
      <c r="V18" s="476">
        <f>report_47_flagged!BD11</f>
        <v>1</v>
      </c>
      <c r="W18" s="155">
        <f>(report_47_flagged!N11/100)*report_47_flagged!H11</f>
        <v>12.750390542139325</v>
      </c>
      <c r="X18" s="155">
        <f t="shared" si="3"/>
        <v>0.26786746815192441</v>
      </c>
      <c r="Y18" s="151">
        <f>report_47_flagged!AP11</f>
        <v>1</v>
      </c>
      <c r="Z18" s="155">
        <f>(report_47_flagged!P11/100)*report_47_flagged!H11</f>
        <v>0.77935662298883701</v>
      </c>
      <c r="AA18" s="155">
        <f t="shared" si="4"/>
        <v>2.9619243132779836E-2</v>
      </c>
      <c r="AB18" s="151">
        <f>report_47_flagged!AR11</f>
        <v>1</v>
      </c>
      <c r="AC18" s="155">
        <f>(report_47_flagged!R11/100)*report_47_flagged!H11</f>
        <v>5.3331475265510537</v>
      </c>
      <c r="AD18" s="155">
        <f t="shared" si="5"/>
        <v>0.14936241132842348</v>
      </c>
      <c r="AE18" s="151">
        <f>report_47_flagged!AT11</f>
        <v>1</v>
      </c>
      <c r="AF18" s="155">
        <f>(report_47_flagged!L11/100)*report_47_flagged!H11</f>
        <v>7.417243015588272</v>
      </c>
      <c r="AG18" s="155">
        <f t="shared" si="6"/>
        <v>0.14099786840445708</v>
      </c>
      <c r="AH18" s="151">
        <f>report_47_flagged!AV11</f>
        <v>1</v>
      </c>
      <c r="AI18" s="155">
        <f>(report_47_flagged!T11/100)*report_47_flagged!H11</f>
        <v>3.1218505974059054</v>
      </c>
      <c r="AJ18" s="155">
        <f t="shared" si="7"/>
        <v>0.15298214686565259</v>
      </c>
      <c r="AK18" s="151">
        <f>report_47_flagged!AX11</f>
        <v>1</v>
      </c>
    </row>
    <row r="19" spans="1:37" ht="15.75">
      <c r="A19" s="376">
        <f>report_47_flagged!A12</f>
        <v>2020</v>
      </c>
      <c r="B19" s="376" t="str">
        <f>LEFT(report_47_flagged!B12,2)</f>
        <v>47</v>
      </c>
      <c r="C19" s="376">
        <f>report_47_flagged!E12</f>
        <v>1000</v>
      </c>
      <c r="D19" s="151">
        <f>report_47_flagged!AM12</f>
        <v>995.00000000000011</v>
      </c>
      <c r="E19" s="376" t="str">
        <f>report_47_flagged!D12</f>
        <v>McLane-PARFLUX-Mark78H-21 ; frame# 12419-01, controller# 12419-01 and Motor # 12419-01 Cup set AAx21</v>
      </c>
      <c r="F19" s="376"/>
      <c r="G19" s="376"/>
      <c r="H19" s="376">
        <f>report_47_flagged!C12</f>
        <v>7</v>
      </c>
      <c r="I19" s="376">
        <f>report_47_flagged!F12</f>
        <v>1</v>
      </c>
      <c r="J19" s="139">
        <f>report_47_flagged!AC12</f>
        <v>44142</v>
      </c>
      <c r="K19" s="139">
        <f>report_47_flagged!AD12</f>
        <v>44152</v>
      </c>
      <c r="L19" s="139">
        <f>report_47_flagged!AE12</f>
        <v>44147</v>
      </c>
      <c r="M19" s="151">
        <f>report_47_flagged!AF12</f>
        <v>10</v>
      </c>
      <c r="N19" s="125">
        <f>report_47_flagged!H12</f>
        <v>56.082857142857144</v>
      </c>
      <c r="O19" s="125">
        <f t="shared" si="0"/>
        <v>3.3649714285714283E-2</v>
      </c>
      <c r="P19" s="125">
        <f>report_47_flagged!J12</f>
        <v>1</v>
      </c>
      <c r="Q19" s="475">
        <f>report_47_flagged!BA12</f>
        <v>39.159999999999997</v>
      </c>
      <c r="R19" s="475">
        <f t="shared" si="1"/>
        <v>0.86151999999999984</v>
      </c>
      <c r="S19" s="476">
        <f>report_47_flagged!BB12</f>
        <v>1</v>
      </c>
      <c r="T19" s="475">
        <f>report_47_flagged!BC12</f>
        <v>8.52</v>
      </c>
      <c r="U19" s="475">
        <f t="shared" si="2"/>
        <v>0.24707999999999999</v>
      </c>
      <c r="V19" s="476">
        <f>report_47_flagged!BD12</f>
        <v>1</v>
      </c>
      <c r="W19" s="155">
        <f>(report_47_flagged!N12/100)*report_47_flagged!H12</f>
        <v>8.4941474326269972</v>
      </c>
      <c r="X19" s="155">
        <f t="shared" si="3"/>
        <v>0.17844988821065558</v>
      </c>
      <c r="Y19" s="151">
        <f>report_47_flagged!AP12</f>
        <v>1</v>
      </c>
      <c r="Z19" s="155">
        <f>(report_47_flagged!P12/100)*report_47_flagged!H12</f>
        <v>0.56592112479891099</v>
      </c>
      <c r="AA19" s="155">
        <f t="shared" si="4"/>
        <v>2.1507683254313313E-2</v>
      </c>
      <c r="AB19" s="151">
        <f>report_47_flagged!AR12</f>
        <v>1</v>
      </c>
      <c r="AC19" s="155">
        <f>(report_47_flagged!R12/100)*report_47_flagged!H12</f>
        <v>3.9018400803453073</v>
      </c>
      <c r="AD19" s="155">
        <f t="shared" si="5"/>
        <v>0.1092766026285333</v>
      </c>
      <c r="AE19" s="151">
        <f>report_47_flagged!AT12</f>
        <v>1</v>
      </c>
      <c r="AF19" s="155">
        <f>(report_47_flagged!L12/100)*report_47_flagged!H12</f>
        <v>4.5923073522816891</v>
      </c>
      <c r="AG19" s="155">
        <f t="shared" si="6"/>
        <v>8.7297334922021533E-2</v>
      </c>
      <c r="AH19" s="151">
        <f>report_47_flagged!AV12</f>
        <v>1</v>
      </c>
      <c r="AI19" s="155">
        <f>(report_47_flagged!T12/100)*report_47_flagged!H12</f>
        <v>1.9483458817346064</v>
      </c>
      <c r="AJ19" s="155">
        <f t="shared" si="7"/>
        <v>9.5476105125686342E-2</v>
      </c>
      <c r="AK19" s="151">
        <f>report_47_flagged!AX12</f>
        <v>1</v>
      </c>
    </row>
    <row r="20" spans="1:37" ht="15.75">
      <c r="A20" s="376">
        <f>report_47_flagged!A13</f>
        <v>2020</v>
      </c>
      <c r="B20" s="376" t="str">
        <f>LEFT(report_47_flagged!B13,2)</f>
        <v>47</v>
      </c>
      <c r="C20" s="376">
        <f>report_47_flagged!E13</f>
        <v>1000</v>
      </c>
      <c r="D20" s="151">
        <f>report_47_flagged!AM13</f>
        <v>995.00000000000011</v>
      </c>
      <c r="E20" s="376" t="str">
        <f>report_47_flagged!D13</f>
        <v>McLane-PARFLUX-Mark78H-21 ; frame# 12419-01, controller# 12419-01 and Motor # 12419-01 Cup set AAx21</v>
      </c>
      <c r="F20" s="376"/>
      <c r="G20" s="376"/>
      <c r="H20" s="376">
        <f>report_47_flagged!C13</f>
        <v>8</v>
      </c>
      <c r="I20" s="376">
        <f>report_47_flagged!F13</f>
        <v>1</v>
      </c>
      <c r="J20" s="139">
        <f>report_47_flagged!AC13</f>
        <v>44152</v>
      </c>
      <c r="K20" s="139">
        <f>report_47_flagged!AD13</f>
        <v>44162</v>
      </c>
      <c r="L20" s="139">
        <f>report_47_flagged!AE13</f>
        <v>44157</v>
      </c>
      <c r="M20" s="151">
        <f>report_47_flagged!AF13</f>
        <v>10</v>
      </c>
      <c r="N20" s="125">
        <f>report_47_flagged!H13</f>
        <v>62.194285714285719</v>
      </c>
      <c r="O20" s="125">
        <f t="shared" si="0"/>
        <v>3.7316571428571428E-2</v>
      </c>
      <c r="P20" s="125">
        <f>report_47_flagged!J13</f>
        <v>1</v>
      </c>
      <c r="Q20" s="475">
        <f>report_47_flagged!BA13</f>
        <v>39.83</v>
      </c>
      <c r="R20" s="475">
        <f t="shared" si="1"/>
        <v>0.87625999999999993</v>
      </c>
      <c r="S20" s="476">
        <f>report_47_flagged!BB13</f>
        <v>1</v>
      </c>
      <c r="T20" s="475">
        <f>report_47_flagged!BC13</f>
        <v>8.4499999999999993</v>
      </c>
      <c r="U20" s="475">
        <f t="shared" si="2"/>
        <v>0.24504999999999999</v>
      </c>
      <c r="V20" s="476">
        <f>report_47_flagged!BD13</f>
        <v>1</v>
      </c>
      <c r="W20" s="155">
        <f>(report_47_flagged!N13/100)*report_47_flagged!H13</f>
        <v>8.9296507893153603</v>
      </c>
      <c r="X20" s="155">
        <f t="shared" si="3"/>
        <v>0.18759919082552301</v>
      </c>
      <c r="Y20" s="151">
        <f>report_47_flagged!AP13</f>
        <v>1</v>
      </c>
      <c r="Z20" s="155">
        <f>(report_47_flagged!P13/100)*report_47_flagged!H13</f>
        <v>0.57683554654802593</v>
      </c>
      <c r="AA20" s="155">
        <f t="shared" si="4"/>
        <v>2.1922482977450287E-2</v>
      </c>
      <c r="AB20" s="151">
        <f>report_47_flagged!AR13</f>
        <v>1</v>
      </c>
      <c r="AC20" s="155">
        <f>(report_47_flagged!R13/100)*report_47_flagged!H13</f>
        <v>3.90333005034211</v>
      </c>
      <c r="AD20" s="155">
        <f t="shared" si="5"/>
        <v>0.10931833136572301</v>
      </c>
      <c r="AE20" s="151">
        <f>report_47_flagged!AT13</f>
        <v>1</v>
      </c>
      <c r="AF20" s="155">
        <f>(report_47_flagged!L13/100)*report_47_flagged!H13</f>
        <v>5.0263207389732516</v>
      </c>
      <c r="AG20" s="155">
        <f t="shared" si="6"/>
        <v>9.5547699950361678E-2</v>
      </c>
      <c r="AH20" s="151">
        <f>report_47_flagged!AV13</f>
        <v>1</v>
      </c>
      <c r="AI20" s="155">
        <f>(report_47_flagged!T13/100)*report_47_flagged!H13</f>
        <v>2.2773907002194571</v>
      </c>
      <c r="AJ20" s="155">
        <f t="shared" si="7"/>
        <v>0.1116005099222066</v>
      </c>
      <c r="AK20" s="151">
        <f>report_47_flagged!AX13</f>
        <v>1</v>
      </c>
    </row>
    <row r="21" spans="1:37" ht="15.75">
      <c r="A21" s="376">
        <f>report_47_flagged!A14</f>
        <v>2020</v>
      </c>
      <c r="B21" s="376" t="str">
        <f>LEFT(report_47_flagged!B14,2)</f>
        <v>47</v>
      </c>
      <c r="C21" s="376">
        <f>report_47_flagged!E14</f>
        <v>1000</v>
      </c>
      <c r="D21" s="151">
        <f>report_47_flagged!AM14</f>
        <v>995.00000000000011</v>
      </c>
      <c r="E21" s="376" t="str">
        <f>report_47_flagged!D14</f>
        <v>McLane-PARFLUX-Mark78H-21 ; frame# 12419-01, controller# 12419-01 and Motor # 12419-01 Cup set AAx21</v>
      </c>
      <c r="F21" s="376"/>
      <c r="G21" s="376"/>
      <c r="H21" s="376">
        <f>report_47_flagged!C14</f>
        <v>9</v>
      </c>
      <c r="I21" s="376">
        <f>report_47_flagged!F14</f>
        <v>1</v>
      </c>
      <c r="J21" s="139">
        <f>report_47_flagged!AC14</f>
        <v>44162</v>
      </c>
      <c r="K21" s="139">
        <f>report_47_flagged!AD14</f>
        <v>44172</v>
      </c>
      <c r="L21" s="139">
        <f>report_47_flagged!AE14</f>
        <v>44167</v>
      </c>
      <c r="M21" s="151">
        <f>report_47_flagged!AF14</f>
        <v>10</v>
      </c>
      <c r="N21" s="125">
        <f>report_47_flagged!H14</f>
        <v>21.5</v>
      </c>
      <c r="O21" s="125">
        <f t="shared" si="0"/>
        <v>1.2899999999999998E-2</v>
      </c>
      <c r="P21" s="125">
        <f>report_47_flagged!J14</f>
        <v>1</v>
      </c>
      <c r="Q21" s="475">
        <f>report_47_flagged!BA14</f>
        <v>40.4</v>
      </c>
      <c r="R21" s="475">
        <f t="shared" si="1"/>
        <v>0.88879999999999992</v>
      </c>
      <c r="S21" s="476">
        <f>report_47_flagged!BB14</f>
        <v>1</v>
      </c>
      <c r="T21" s="475">
        <f>report_47_flagged!BC14</f>
        <v>8.51</v>
      </c>
      <c r="U21" s="475">
        <f t="shared" si="2"/>
        <v>0.24679000000000001</v>
      </c>
      <c r="V21" s="476">
        <f>report_47_flagged!BD14</f>
        <v>1</v>
      </c>
      <c r="W21" s="155">
        <f>(report_47_flagged!N14/100)*report_47_flagged!H14</f>
        <v>3.366626443862915</v>
      </c>
      <c r="X21" s="155">
        <f t="shared" si="3"/>
        <v>7.0728006232471496E-2</v>
      </c>
      <c r="Y21" s="151">
        <f>report_47_flagged!AP14</f>
        <v>1</v>
      </c>
      <c r="Z21" s="155">
        <f>(report_47_flagged!P14/100)*report_47_flagged!H14</f>
        <v>0.25002967059612274</v>
      </c>
      <c r="AA21" s="155">
        <f t="shared" si="4"/>
        <v>9.5023117599162127E-3</v>
      </c>
      <c r="AB21" s="151">
        <f>report_47_flagged!AR14</f>
        <v>1</v>
      </c>
      <c r="AC21" s="155">
        <f>(report_47_flagged!R14/100)*report_47_flagged!H14</f>
        <v>1.6703475277851898</v>
      </c>
      <c r="AD21" s="155">
        <f t="shared" si="5"/>
        <v>4.6780467493988509E-2</v>
      </c>
      <c r="AE21" s="151">
        <f>report_47_flagged!AT14</f>
        <v>1</v>
      </c>
      <c r="AF21" s="155">
        <f>(report_47_flagged!L14/100)*report_47_flagged!H14</f>
        <v>1.6962789160777252</v>
      </c>
      <c r="AG21" s="155">
        <f t="shared" si="6"/>
        <v>3.2245365411883185E-2</v>
      </c>
      <c r="AH21" s="151">
        <f>report_47_flagged!AV14</f>
        <v>1</v>
      </c>
      <c r="AI21" s="155">
        <f>(report_47_flagged!T14/100)*report_47_flagged!H14</f>
        <v>0.77198641865664863</v>
      </c>
      <c r="AJ21" s="155">
        <f t="shared" si="7"/>
        <v>3.7830170276359674E-2</v>
      </c>
      <c r="AK21" s="151">
        <f>report_47_flagged!AX14</f>
        <v>1</v>
      </c>
    </row>
    <row r="22" spans="1:37" ht="15.75">
      <c r="A22" s="376">
        <f>report_47_flagged!A15</f>
        <v>2020</v>
      </c>
      <c r="B22" s="376" t="str">
        <f>LEFT(report_47_flagged!B15,2)</f>
        <v>47</v>
      </c>
      <c r="C22" s="376">
        <f>report_47_flagged!E15</f>
        <v>1000</v>
      </c>
      <c r="D22" s="151">
        <f>report_47_flagged!AM15</f>
        <v>995.00000000000011</v>
      </c>
      <c r="E22" s="376" t="str">
        <f>report_47_flagged!D15</f>
        <v>McLane-PARFLUX-Mark78H-21 ; frame# 12419-01, controller# 12419-01 and Motor # 12419-01 Cup set AAx21</v>
      </c>
      <c r="F22" s="376"/>
      <c r="G22" s="376"/>
      <c r="H22" s="376">
        <f>report_47_flagged!C15</f>
        <v>10</v>
      </c>
      <c r="I22" s="376">
        <f>report_47_flagged!F15</f>
        <v>1</v>
      </c>
      <c r="J22" s="139">
        <f>report_47_flagged!AC15</f>
        <v>44172</v>
      </c>
      <c r="K22" s="139">
        <f>report_47_flagged!AD15</f>
        <v>44182</v>
      </c>
      <c r="L22" s="139">
        <f>report_47_flagged!AE15</f>
        <v>44177</v>
      </c>
      <c r="M22" s="151">
        <f>report_47_flagged!AF15</f>
        <v>10</v>
      </c>
      <c r="N22" s="125">
        <f>report_47_flagged!H15</f>
        <v>41.934285714285707</v>
      </c>
      <c r="O22" s="125">
        <f t="shared" si="0"/>
        <v>2.5160571428571421E-2</v>
      </c>
      <c r="P22" s="125">
        <f>report_47_flagged!J15</f>
        <v>1</v>
      </c>
      <c r="Q22" s="475">
        <f>report_47_flagged!BA15</f>
        <v>38.47</v>
      </c>
      <c r="R22" s="475">
        <f t="shared" si="1"/>
        <v>0.84633999999999998</v>
      </c>
      <c r="S22" s="476">
        <f>report_47_flagged!BB15</f>
        <v>1</v>
      </c>
      <c r="T22" s="475">
        <f>report_47_flagged!BC15</f>
        <v>8.34</v>
      </c>
      <c r="U22" s="475">
        <f t="shared" si="2"/>
        <v>0.24186000000000002</v>
      </c>
      <c r="V22" s="476">
        <f>report_47_flagged!BD15</f>
        <v>1</v>
      </c>
      <c r="W22" s="155">
        <f>(report_47_flagged!N15/100)*report_47_flagged!H15</f>
        <v>6.7998324533190031</v>
      </c>
      <c r="X22" s="155">
        <f t="shared" si="3"/>
        <v>0.14285475390797223</v>
      </c>
      <c r="Y22" s="151">
        <f>report_47_flagged!AP15</f>
        <v>1</v>
      </c>
      <c r="Z22" s="155">
        <f>(report_47_flagged!P15/100)*report_47_flagged!H15</f>
        <v>0.55463026427200857</v>
      </c>
      <c r="AA22" s="155">
        <f t="shared" si="4"/>
        <v>2.1078577074600487E-2</v>
      </c>
      <c r="AB22" s="151">
        <f>report_47_flagged!AR15</f>
        <v>1</v>
      </c>
      <c r="AC22" s="155">
        <f>(report_47_flagged!R15/100)*report_47_flagged!H15</f>
        <v>3.6004736838514813</v>
      </c>
      <c r="AD22" s="155">
        <f t="shared" si="5"/>
        <v>0.10083640639364957</v>
      </c>
      <c r="AE22" s="151">
        <f>report_47_flagged!AT15</f>
        <v>1</v>
      </c>
      <c r="AF22" s="155">
        <f>(report_47_flagged!L15/100)*report_47_flagged!H15</f>
        <v>3.1993587694675227</v>
      </c>
      <c r="AG22" s="155">
        <f t="shared" si="6"/>
        <v>6.0818118781867894E-2</v>
      </c>
      <c r="AH22" s="151">
        <f>report_47_flagged!AV15</f>
        <v>1</v>
      </c>
      <c r="AI22" s="155">
        <f>(report_47_flagged!T15/100)*report_47_flagged!H15</f>
        <v>1.6346927316160118</v>
      </c>
      <c r="AJ22" s="155">
        <f t="shared" si="7"/>
        <v>8.0105948617815961E-2</v>
      </c>
      <c r="AK22" s="151">
        <f>report_47_flagged!AX15</f>
        <v>1</v>
      </c>
    </row>
    <row r="23" spans="1:37" ht="15.75">
      <c r="A23" s="376">
        <f>report_47_flagged!A16</f>
        <v>2020</v>
      </c>
      <c r="B23" s="376" t="str">
        <f>LEFT(report_47_flagged!B16,2)</f>
        <v>47</v>
      </c>
      <c r="C23" s="376">
        <f>report_47_flagged!E16</f>
        <v>1000</v>
      </c>
      <c r="D23" s="151">
        <f>report_47_flagged!AM16</f>
        <v>995.00000000000011</v>
      </c>
      <c r="E23" s="376" t="str">
        <f>report_47_flagged!D16</f>
        <v>McLane-PARFLUX-Mark78H-21 ; frame# 12419-01, controller# 12419-01 and Motor # 12419-01 Cup set AAx21</v>
      </c>
      <c r="F23" s="376"/>
      <c r="G23" s="376"/>
      <c r="H23" s="376">
        <f>report_47_flagged!C16</f>
        <v>11</v>
      </c>
      <c r="I23" s="376">
        <f>report_47_flagged!F16</f>
        <v>1</v>
      </c>
      <c r="J23" s="139">
        <f>report_47_flagged!AC16</f>
        <v>44182</v>
      </c>
      <c r="K23" s="139">
        <f>report_47_flagged!AD16</f>
        <v>44192</v>
      </c>
      <c r="L23" s="139">
        <f>report_47_flagged!AE16</f>
        <v>44187</v>
      </c>
      <c r="M23" s="151">
        <f>report_47_flagged!AF16</f>
        <v>10</v>
      </c>
      <c r="N23" s="125">
        <f>report_47_flagged!H16</f>
        <v>60.031428571428577</v>
      </c>
      <c r="O23" s="125">
        <f t="shared" si="0"/>
        <v>3.6018857142857144E-2</v>
      </c>
      <c r="P23" s="125">
        <f>report_47_flagged!J16</f>
        <v>1</v>
      </c>
      <c r="Q23" s="475">
        <f>report_47_flagged!BA16</f>
        <v>39.770000000000003</v>
      </c>
      <c r="R23" s="475">
        <f t="shared" si="1"/>
        <v>0.87494000000000005</v>
      </c>
      <c r="S23" s="476">
        <f>report_47_flagged!BB16</f>
        <v>1</v>
      </c>
      <c r="T23" s="475">
        <f>report_47_flagged!BC16</f>
        <v>8.42</v>
      </c>
      <c r="U23" s="475">
        <f t="shared" si="2"/>
        <v>0.24418000000000001</v>
      </c>
      <c r="V23" s="476">
        <f>report_47_flagged!BD16</f>
        <v>1</v>
      </c>
      <c r="W23" s="155">
        <f>(report_47_flagged!N16/100)*report_47_flagged!H16</f>
        <v>11.34164369861058</v>
      </c>
      <c r="X23" s="155">
        <f t="shared" si="3"/>
        <v>0.23827171192815111</v>
      </c>
      <c r="Y23" s="151">
        <f>report_47_flagged!AP16</f>
        <v>1</v>
      </c>
      <c r="Z23" s="155">
        <f>(report_47_flagged!P16/100)*report_47_flagged!H16</f>
        <v>1.5017604744468418</v>
      </c>
      <c r="AA23" s="155">
        <f t="shared" si="4"/>
        <v>5.707401118791406E-2</v>
      </c>
      <c r="AB23" s="151">
        <f>report_47_flagged!AR16</f>
        <v>1</v>
      </c>
      <c r="AC23" s="155">
        <f>(report_47_flagged!R16/100)*report_47_flagged!H16</f>
        <v>7.464608078150043</v>
      </c>
      <c r="AD23" s="155">
        <f t="shared" si="5"/>
        <v>0.2090570074469974</v>
      </c>
      <c r="AE23" s="151">
        <f>report_47_flagged!AT16</f>
        <v>1</v>
      </c>
      <c r="AF23" s="155">
        <f>(report_47_flagged!L16/100)*report_47_flagged!H16</f>
        <v>3.8770356204605356</v>
      </c>
      <c r="AG23" s="155">
        <f t="shared" si="6"/>
        <v>7.370039744743774E-2</v>
      </c>
      <c r="AH23" s="151">
        <f>report_47_flagged!AV16</f>
        <v>1</v>
      </c>
      <c r="AI23" s="155">
        <f>(report_47_flagged!T16/100)*report_47_flagged!H16</f>
        <v>5.3667578104220812</v>
      </c>
      <c r="AJ23" s="155">
        <f t="shared" si="7"/>
        <v>0.26299084659227512</v>
      </c>
      <c r="AK23" s="151">
        <f>report_47_flagged!AX16</f>
        <v>1</v>
      </c>
    </row>
    <row r="24" spans="1:37" ht="15.75">
      <c r="A24" s="376">
        <f>report_47_flagged!A17</f>
        <v>2020</v>
      </c>
      <c r="B24" s="376" t="str">
        <f>LEFT(report_47_flagged!B17,2)</f>
        <v>47</v>
      </c>
      <c r="C24" s="376">
        <f>report_47_flagged!E17</f>
        <v>1000</v>
      </c>
      <c r="D24" s="151">
        <f>report_47_flagged!AM17</f>
        <v>995.00000000000011</v>
      </c>
      <c r="E24" s="376" t="str">
        <f>report_47_flagged!D17</f>
        <v>McLane-PARFLUX-Mark78H-21 ; frame# 12419-01, controller# 12419-01 and Motor # 12419-01 Cup set AAx21</v>
      </c>
      <c r="F24" s="376"/>
      <c r="G24" s="376"/>
      <c r="H24" s="376">
        <f>report_47_flagged!C17</f>
        <v>12</v>
      </c>
      <c r="I24" s="376">
        <f>report_47_flagged!F17</f>
        <v>1</v>
      </c>
      <c r="J24" s="139">
        <f>report_47_flagged!AC17</f>
        <v>44192</v>
      </c>
      <c r="K24" s="139">
        <f>report_47_flagged!AD17</f>
        <v>44202</v>
      </c>
      <c r="L24" s="139">
        <f>report_47_flagged!AE17</f>
        <v>44197</v>
      </c>
      <c r="M24" s="151">
        <f>report_47_flagged!AF17</f>
        <v>10</v>
      </c>
      <c r="N24" s="125">
        <f>report_47_flagged!H17</f>
        <v>103.16571428571429</v>
      </c>
      <c r="O24" s="125">
        <f t="shared" si="0"/>
        <v>6.1899428571428564E-2</v>
      </c>
      <c r="P24" s="125">
        <f>report_47_flagged!J17</f>
        <v>1</v>
      </c>
      <c r="Q24" s="475">
        <f>report_47_flagged!BA17</f>
        <v>39.114999999999995</v>
      </c>
      <c r="R24" s="475">
        <f t="shared" si="1"/>
        <v>0.8605299999999998</v>
      </c>
      <c r="S24" s="476">
        <f>report_47_flagged!BB17</f>
        <v>1</v>
      </c>
      <c r="T24" s="475">
        <f>report_47_flagged!BC17</f>
        <v>8.4149999999999991</v>
      </c>
      <c r="U24" s="475">
        <f t="shared" si="2"/>
        <v>0.24403499999999997</v>
      </c>
      <c r="V24" s="476">
        <f>report_47_flagged!BD17</f>
        <v>1</v>
      </c>
      <c r="W24" s="155">
        <f>(report_47_flagged!N17/100)*report_47_flagged!H17</f>
        <v>15.410402184186664</v>
      </c>
      <c r="X24" s="155">
        <f t="shared" si="3"/>
        <v>0.32375050808352412</v>
      </c>
      <c r="Y24" s="151">
        <f>report_47_flagged!AP17</f>
        <v>1</v>
      </c>
      <c r="Z24" s="155">
        <f>(report_47_flagged!P17/100)*report_47_flagged!H17</f>
        <v>1.0777874944005694</v>
      </c>
      <c r="AA24" s="155">
        <f t="shared" si="4"/>
        <v>4.0961029778247358E-2</v>
      </c>
      <c r="AB24" s="151">
        <f>report_47_flagged!AR17</f>
        <v>1</v>
      </c>
      <c r="AC24" s="155">
        <f>(report_47_flagged!R17/100)*report_47_flagged!H17</f>
        <v>7.2387307093210396</v>
      </c>
      <c r="AD24" s="155">
        <f t="shared" si="5"/>
        <v>0.20273098921763899</v>
      </c>
      <c r="AE24" s="151">
        <f>report_47_flagged!AT17</f>
        <v>1</v>
      </c>
      <c r="AF24" s="155">
        <f>(report_47_flagged!L17/100)*report_47_flagged!H17</f>
        <v>8.1716714748656241</v>
      </c>
      <c r="AG24" s="155">
        <f t="shared" si="6"/>
        <v>0.15533915456674266</v>
      </c>
      <c r="AH24" s="151">
        <f>report_47_flagged!AV17</f>
        <v>1</v>
      </c>
      <c r="AI24" s="155">
        <f>(report_47_flagged!T17/100)*report_47_flagged!H17</f>
        <v>4.5839447611292528</v>
      </c>
      <c r="AJ24" s="155">
        <f t="shared" si="7"/>
        <v>0.22463013164493711</v>
      </c>
      <c r="AK24" s="151">
        <f>report_47_flagged!AX17</f>
        <v>1</v>
      </c>
    </row>
    <row r="25" spans="1:37" ht="15.75">
      <c r="A25" s="376">
        <f>report_47_flagged!A18</f>
        <v>2020</v>
      </c>
      <c r="B25" s="376" t="str">
        <f>LEFT(report_47_flagged!B18,2)</f>
        <v>47</v>
      </c>
      <c r="C25" s="376">
        <f>report_47_flagged!E18</f>
        <v>1000</v>
      </c>
      <c r="D25" s="151">
        <f>report_47_flagged!AM18</f>
        <v>995.00000000000011</v>
      </c>
      <c r="E25" s="376" t="str">
        <f>report_47_flagged!D18</f>
        <v>McLane-PARFLUX-Mark78H-21 ; frame# 12419-01, controller# 12419-01 and Motor # 12419-01 Cup set AAx21</v>
      </c>
      <c r="F25" s="376"/>
      <c r="G25" s="376"/>
      <c r="H25" s="376">
        <f>report_47_flagged!C18</f>
        <v>13</v>
      </c>
      <c r="I25" s="376">
        <f>report_47_flagged!F18</f>
        <v>1</v>
      </c>
      <c r="J25" s="139">
        <f>report_47_flagged!AC18</f>
        <v>44202</v>
      </c>
      <c r="K25" s="139">
        <f>report_47_flagged!AD18</f>
        <v>44212</v>
      </c>
      <c r="L25" s="139">
        <f>report_47_flagged!AE18</f>
        <v>44207</v>
      </c>
      <c r="M25" s="151">
        <f>report_47_flagged!AF18</f>
        <v>10</v>
      </c>
      <c r="N25" s="125">
        <f>report_47_flagged!H18</f>
        <v>134.26285714285714</v>
      </c>
      <c r="O25" s="125">
        <f t="shared" si="0"/>
        <v>8.0557714285714274E-2</v>
      </c>
      <c r="P25" s="125">
        <f>report_47_flagged!J18</f>
        <v>1</v>
      </c>
      <c r="Q25" s="475">
        <f>report_47_flagged!BA18</f>
        <v>39.880000000000003</v>
      </c>
      <c r="R25" s="475">
        <f t="shared" si="1"/>
        <v>0.87736000000000003</v>
      </c>
      <c r="S25" s="476">
        <f>report_47_flagged!BB18</f>
        <v>1</v>
      </c>
      <c r="T25" s="475">
        <f>report_47_flagged!BC18</f>
        <v>8.3699999999999992</v>
      </c>
      <c r="U25" s="475">
        <f t="shared" si="2"/>
        <v>0.24273</v>
      </c>
      <c r="V25" s="476">
        <f>report_47_flagged!BD18</f>
        <v>1</v>
      </c>
      <c r="W25" s="155">
        <f>(report_47_flagged!N18/100)*report_47_flagged!H18</f>
        <v>20.083381572614396</v>
      </c>
      <c r="X25" s="155">
        <f t="shared" si="3"/>
        <v>0.42192312117857694</v>
      </c>
      <c r="Y25" s="151">
        <f>report_47_flagged!AP18</f>
        <v>1</v>
      </c>
      <c r="Z25" s="155">
        <f>(report_47_flagged!P18/100)*report_47_flagged!H18</f>
        <v>1.728101818738665</v>
      </c>
      <c r="AA25" s="155">
        <f t="shared" si="4"/>
        <v>6.567605434739815E-2</v>
      </c>
      <c r="AB25" s="151">
        <f>report_47_flagged!AR18</f>
        <v>1</v>
      </c>
      <c r="AC25" s="155">
        <f>(report_47_flagged!R18/100)*report_47_flagged!H18</f>
        <v>10.840330915295574</v>
      </c>
      <c r="AD25" s="155">
        <f t="shared" si="5"/>
        <v>0.30359894547183086</v>
      </c>
      <c r="AE25" s="151">
        <f>report_47_flagged!AT18</f>
        <v>1</v>
      </c>
      <c r="AF25" s="155">
        <f>(report_47_flagged!L18/100)*report_47_flagged!H18</f>
        <v>9.2430506573188236</v>
      </c>
      <c r="AG25" s="155">
        <f t="shared" si="6"/>
        <v>0.17570550641221069</v>
      </c>
      <c r="AH25" s="151">
        <f>report_47_flagged!AV18</f>
        <v>1</v>
      </c>
      <c r="AI25" s="155">
        <f>(report_47_flagged!T18/100)*report_47_flagged!H18</f>
        <v>9.4619464632478554</v>
      </c>
      <c r="AJ25" s="155">
        <f t="shared" si="7"/>
        <v>0.4636701335670354</v>
      </c>
      <c r="AK25" s="151">
        <f>report_47_flagged!AX18</f>
        <v>1</v>
      </c>
    </row>
    <row r="26" spans="1:37" ht="15.75">
      <c r="A26" s="376">
        <f>report_47_flagged!A19</f>
        <v>2020</v>
      </c>
      <c r="B26" s="376" t="str">
        <f>LEFT(report_47_flagged!B19,2)</f>
        <v>47</v>
      </c>
      <c r="C26" s="376">
        <f>report_47_flagged!E19</f>
        <v>1000</v>
      </c>
      <c r="D26" s="151">
        <f>report_47_flagged!AM19</f>
        <v>995.00000000000011</v>
      </c>
      <c r="E26" s="376" t="str">
        <f>report_47_flagged!D19</f>
        <v>McLane-PARFLUX-Mark78H-21 ; frame# 12419-01, controller# 12419-01 and Motor # 12419-01 Cup set AAx21</v>
      </c>
      <c r="F26" s="376"/>
      <c r="G26" s="376"/>
      <c r="H26" s="376">
        <f>report_47_flagged!C19</f>
        <v>14</v>
      </c>
      <c r="I26" s="376">
        <f>report_47_flagged!F19</f>
        <v>1</v>
      </c>
      <c r="J26" s="139">
        <f>report_47_flagged!AC19</f>
        <v>44212</v>
      </c>
      <c r="K26" s="139">
        <f>report_47_flagged!AD19</f>
        <v>44222</v>
      </c>
      <c r="L26" s="139">
        <f>report_47_flagged!AE19</f>
        <v>44217</v>
      </c>
      <c r="M26" s="151">
        <f>report_47_flagged!AF19</f>
        <v>10</v>
      </c>
      <c r="N26" s="125">
        <f>report_47_flagged!H19</f>
        <v>70.854285714285723</v>
      </c>
      <c r="O26" s="125">
        <f t="shared" si="0"/>
        <v>4.2512571428571427E-2</v>
      </c>
      <c r="P26" s="125">
        <f>report_47_flagged!J19</f>
        <v>1</v>
      </c>
      <c r="Q26" s="475">
        <f>report_47_flagged!BA19</f>
        <v>38.74</v>
      </c>
      <c r="R26" s="475">
        <f t="shared" si="1"/>
        <v>0.85228000000000004</v>
      </c>
      <c r="S26" s="476">
        <f>report_47_flagged!BB19</f>
        <v>1</v>
      </c>
      <c r="T26" s="475">
        <f>report_47_flagged!BC19</f>
        <v>8.31</v>
      </c>
      <c r="U26" s="475">
        <f t="shared" si="2"/>
        <v>0.24099000000000004</v>
      </c>
      <c r="V26" s="476">
        <f>report_47_flagged!BD19</f>
        <v>1</v>
      </c>
      <c r="W26" s="155">
        <f>(report_47_flagged!N19/100)*report_47_flagged!H19</f>
        <v>10.663791771016804</v>
      </c>
      <c r="X26" s="155">
        <f t="shared" si="3"/>
        <v>0.2240310124745655</v>
      </c>
      <c r="Y26" s="151">
        <f>report_47_flagged!AP19</f>
        <v>1</v>
      </c>
      <c r="Z26" s="155">
        <f>(report_47_flagged!P19/100)*report_47_flagged!H19</f>
        <v>0.80205655595575065</v>
      </c>
      <c r="AA26" s="155">
        <f t="shared" si="4"/>
        <v>3.0481948104819894E-2</v>
      </c>
      <c r="AB26" s="151">
        <f>report_47_flagged!AR19</f>
        <v>1</v>
      </c>
      <c r="AC26" s="155">
        <f>(report_47_flagged!R19/100)*report_47_flagged!H19</f>
        <v>5.2431871560591512</v>
      </c>
      <c r="AD26" s="155">
        <f t="shared" si="5"/>
        <v>0.14684294270435591</v>
      </c>
      <c r="AE26" s="151">
        <f>report_47_flagged!AT19</f>
        <v>1</v>
      </c>
      <c r="AF26" s="155">
        <f>(report_47_flagged!L19/100)*report_47_flagged!H19</f>
        <v>5.4206046149576528</v>
      </c>
      <c r="AG26" s="155">
        <f t="shared" si="6"/>
        <v>0.10304282798421628</v>
      </c>
      <c r="AH26" s="151">
        <f>report_47_flagged!AV19</f>
        <v>1</v>
      </c>
      <c r="AI26" s="155">
        <f>(report_47_flagged!T19/100)*report_47_flagged!H19</f>
        <v>2.5045813984792846</v>
      </c>
      <c r="AJ26" s="155">
        <f t="shared" si="7"/>
        <v>0.12273368868373209</v>
      </c>
      <c r="AK26" s="151">
        <f>report_47_flagged!AX19</f>
        <v>1</v>
      </c>
    </row>
    <row r="27" spans="1:37" ht="15.75">
      <c r="A27" s="376">
        <f>report_47_flagged!A20</f>
        <v>2020</v>
      </c>
      <c r="B27" s="376" t="str">
        <f>LEFT(report_47_flagged!B20,2)</f>
        <v>47</v>
      </c>
      <c r="C27" s="376">
        <f>report_47_flagged!E20</f>
        <v>1000</v>
      </c>
      <c r="D27" s="151">
        <f>report_47_flagged!AM20</f>
        <v>995.00000000000011</v>
      </c>
      <c r="E27" s="376" t="str">
        <f>report_47_flagged!D20</f>
        <v>McLane-PARFLUX-Mark78H-21 ; frame# 12419-01, controller# 12419-01 and Motor # 12419-01 Cup set AAx21</v>
      </c>
      <c r="F27" s="376"/>
      <c r="G27" s="376"/>
      <c r="H27" s="376">
        <f>report_47_flagged!C20</f>
        <v>15</v>
      </c>
      <c r="I27" s="376">
        <f>report_47_flagged!F20</f>
        <v>1</v>
      </c>
      <c r="J27" s="139">
        <f>report_47_flagged!AC20</f>
        <v>44222</v>
      </c>
      <c r="K27" s="139">
        <f>report_47_flagged!AD20</f>
        <v>44232</v>
      </c>
      <c r="L27" s="139">
        <f>report_47_flagged!AE20</f>
        <v>44227</v>
      </c>
      <c r="M27" s="151">
        <f>report_47_flagged!AF20</f>
        <v>10</v>
      </c>
      <c r="N27" s="125">
        <f>report_47_flagged!H20</f>
        <v>33.797142857142859</v>
      </c>
      <c r="O27" s="125">
        <f t="shared" si="0"/>
        <v>2.0278285714285714E-2</v>
      </c>
      <c r="P27" s="125">
        <f>report_47_flagged!J20</f>
        <v>1</v>
      </c>
      <c r="Q27" s="475">
        <f>report_47_flagged!BA20</f>
        <v>37.24</v>
      </c>
      <c r="R27" s="475">
        <f t="shared" si="1"/>
        <v>0.81928000000000001</v>
      </c>
      <c r="S27" s="476">
        <f>report_47_flagged!BB20</f>
        <v>1</v>
      </c>
      <c r="T27" s="475">
        <f>report_47_flagged!BC20</f>
        <v>8.36</v>
      </c>
      <c r="U27" s="475">
        <f t="shared" si="2"/>
        <v>0.24243999999999999</v>
      </c>
      <c r="V27" s="476">
        <f>report_47_flagged!BD20</f>
        <v>1</v>
      </c>
      <c r="W27" s="155">
        <f>(report_47_flagged!N20/100)*report_47_flagged!H20</f>
        <v>4.9628158136231564</v>
      </c>
      <c r="X27" s="155">
        <f t="shared" si="3"/>
        <v>0.10426166182957702</v>
      </c>
      <c r="Y27" s="151">
        <f>report_47_flagged!AP20</f>
        <v>1</v>
      </c>
      <c r="Z27" s="155">
        <f>(report_47_flagged!P20/100)*report_47_flagged!H20</f>
        <v>0.34964713651963641</v>
      </c>
      <c r="AA27" s="155">
        <f t="shared" si="4"/>
        <v>1.3288247307810086E-2</v>
      </c>
      <c r="AB27" s="151">
        <f>report_47_flagged!AR20</f>
        <v>1</v>
      </c>
      <c r="AC27" s="155">
        <f>(report_47_flagged!R20/100)*report_47_flagged!H20</f>
        <v>2.0686523618963939</v>
      </c>
      <c r="AD27" s="155">
        <f t="shared" si="5"/>
        <v>5.7935563086307602E-2</v>
      </c>
      <c r="AE27" s="151">
        <f>report_47_flagged!AT20</f>
        <v>1</v>
      </c>
      <c r="AF27" s="155">
        <f>(report_47_flagged!L20/100)*report_47_flagged!H20</f>
        <v>2.894163451726762</v>
      </c>
      <c r="AG27" s="155">
        <f t="shared" si="6"/>
        <v>5.5016517141200157E-2</v>
      </c>
      <c r="AH27" s="151">
        <f>report_47_flagged!AV20</f>
        <v>1</v>
      </c>
      <c r="AI27" s="155">
        <f>(report_47_flagged!T20/100)*report_47_flagged!H20</f>
        <v>0.60169345960959075</v>
      </c>
      <c r="AJ27" s="155">
        <f t="shared" si="7"/>
        <v>2.9485189740529025E-2</v>
      </c>
      <c r="AK27" s="151">
        <f>report_47_flagged!AX20</f>
        <v>1</v>
      </c>
    </row>
    <row r="28" spans="1:37" ht="15.75">
      <c r="A28" s="376">
        <f>report_47_flagged!A21</f>
        <v>2020</v>
      </c>
      <c r="B28" s="376" t="str">
        <f>LEFT(report_47_flagged!B21,2)</f>
        <v>47</v>
      </c>
      <c r="C28" s="376">
        <f>report_47_flagged!E21</f>
        <v>1000</v>
      </c>
      <c r="D28" s="151">
        <f>report_47_flagged!AM21</f>
        <v>995.00000000000011</v>
      </c>
      <c r="E28" s="376" t="str">
        <f>report_47_flagged!D21</f>
        <v>McLane-PARFLUX-Mark78H-21 ; frame# 12419-01, controller# 12419-01 and Motor # 12419-01 Cup set AAx21</v>
      </c>
      <c r="F28" s="376"/>
      <c r="G28" s="376"/>
      <c r="H28" s="376">
        <f>report_47_flagged!C21</f>
        <v>16</v>
      </c>
      <c r="I28" s="376">
        <f>report_47_flagged!F21</f>
        <v>1</v>
      </c>
      <c r="J28" s="139">
        <f>report_47_flagged!AC21</f>
        <v>44232</v>
      </c>
      <c r="K28" s="139">
        <f>report_47_flagged!AD21</f>
        <v>44242</v>
      </c>
      <c r="L28" s="139">
        <f>report_47_flagged!AE21</f>
        <v>44237</v>
      </c>
      <c r="M28" s="151">
        <f>report_47_flagged!AF21</f>
        <v>10</v>
      </c>
      <c r="N28" s="125">
        <f>report_47_flagged!H21</f>
        <v>12.616428571428571</v>
      </c>
      <c r="O28" s="125">
        <f t="shared" si="0"/>
        <v>7.5698571428571421E-3</v>
      </c>
      <c r="P28" s="125">
        <f>report_47_flagged!J21</f>
        <v>1</v>
      </c>
      <c r="Q28" s="475">
        <f>report_47_flagged!BA21</f>
        <v>39.270000000000003</v>
      </c>
      <c r="R28" s="475">
        <f t="shared" si="1"/>
        <v>0.86394000000000004</v>
      </c>
      <c r="S28" s="476">
        <f>report_47_flagged!BB21</f>
        <v>1</v>
      </c>
      <c r="T28" s="475">
        <f>report_47_flagged!BC21</f>
        <v>8.5299999999999994</v>
      </c>
      <c r="U28" s="475">
        <f t="shared" si="2"/>
        <v>0.24737000000000001</v>
      </c>
      <c r="V28" s="476">
        <f>report_47_flagged!BD21</f>
        <v>1</v>
      </c>
      <c r="W28" s="155">
        <f>(report_47_flagged!N21/100)*report_47_flagged!H21</f>
        <v>2.1288711999620711</v>
      </c>
      <c r="X28" s="155">
        <f t="shared" si="3"/>
        <v>4.4724538944178008E-2</v>
      </c>
      <c r="Y28" s="151">
        <f>report_47_flagged!AP21</f>
        <v>1</v>
      </c>
      <c r="Z28" s="155">
        <f>(report_47_flagged!P21/100)*report_47_flagged!H21</f>
        <v>0.26340546810797283</v>
      </c>
      <c r="AA28" s="155">
        <f t="shared" si="4"/>
        <v>1.0010655420458883E-2</v>
      </c>
      <c r="AB28" s="151">
        <f>report_47_flagged!AR21</f>
        <v>1</v>
      </c>
      <c r="AC28" s="155">
        <f>(report_47_flagged!R21/100)*report_47_flagged!H21</f>
        <v>1.1627513824958637</v>
      </c>
      <c r="AD28" s="155">
        <f t="shared" si="5"/>
        <v>3.2564512682317172E-2</v>
      </c>
      <c r="AE28" s="151">
        <f>report_47_flagged!AT21</f>
        <v>1</v>
      </c>
      <c r="AF28" s="155">
        <f>(report_47_flagged!L21/100)*report_47_flagged!H21</f>
        <v>0.96611981746620734</v>
      </c>
      <c r="AG28" s="155">
        <f t="shared" si="6"/>
        <v>1.8365426965215127E-2</v>
      </c>
      <c r="AH28" s="151">
        <f>report_47_flagged!AV21</f>
        <v>1</v>
      </c>
      <c r="AI28" s="155">
        <f>(report_47_flagged!T21/100)*report_47_flagged!H21</f>
        <v>0.14863200782882932</v>
      </c>
      <c r="AJ28" s="155">
        <f t="shared" si="7"/>
        <v>7.2835143582786815E-3</v>
      </c>
      <c r="AK28" s="151">
        <f>report_47_flagged!AX21</f>
        <v>1</v>
      </c>
    </row>
    <row r="29" spans="1:37" ht="15.75">
      <c r="A29" s="376">
        <f>report_47_flagged!A22</f>
        <v>2020</v>
      </c>
      <c r="B29" s="376" t="str">
        <f>LEFT(report_47_flagged!B22,2)</f>
        <v>47</v>
      </c>
      <c r="C29" s="376">
        <f>report_47_flagged!E22</f>
        <v>1000</v>
      </c>
      <c r="D29" s="151">
        <f>report_47_flagged!AM22</f>
        <v>995.00000000000011</v>
      </c>
      <c r="E29" s="376" t="str">
        <f>report_47_flagged!D22</f>
        <v>McLane-PARFLUX-Mark78H-21 ; frame# 12419-01, controller# 12419-01 and Motor # 12419-01 Cup set AAx21</v>
      </c>
      <c r="F29" s="376"/>
      <c r="G29" s="376"/>
      <c r="H29" s="376">
        <f>report_47_flagged!C22</f>
        <v>17</v>
      </c>
      <c r="I29" s="376">
        <f>report_47_flagged!F22</f>
        <v>1</v>
      </c>
      <c r="J29" s="139">
        <f>report_47_flagged!AC22</f>
        <v>44242</v>
      </c>
      <c r="K29" s="139">
        <f>report_47_flagged!AD22</f>
        <v>44252</v>
      </c>
      <c r="L29" s="139">
        <f>report_47_flagged!AE22</f>
        <v>44247</v>
      </c>
      <c r="M29" s="151">
        <f>report_47_flagged!AF22</f>
        <v>10</v>
      </c>
      <c r="N29" s="125" t="str">
        <f>report_47_flagged!H22</f>
        <v>NA</v>
      </c>
      <c r="O29" s="125" t="s">
        <v>1899</v>
      </c>
      <c r="P29" s="125">
        <f>report_47_flagged!J22</f>
        <v>9</v>
      </c>
      <c r="Q29" s="475">
        <f>report_47_flagged!BA22</f>
        <v>39.75</v>
      </c>
      <c r="R29" s="475">
        <f t="shared" si="1"/>
        <v>0.87449999999999994</v>
      </c>
      <c r="S29" s="476">
        <f>report_47_flagged!BB22</f>
        <v>1</v>
      </c>
      <c r="T29" s="475">
        <f>report_47_flagged!BC22</f>
        <v>8.26</v>
      </c>
      <c r="U29" s="475">
        <f t="shared" si="2"/>
        <v>0.23954</v>
      </c>
      <c r="V29" s="476">
        <f>report_47_flagged!BD22</f>
        <v>1</v>
      </c>
      <c r="W29" s="125">
        <f>report_47_flagged!Q22</f>
        <v>9</v>
      </c>
      <c r="X29" s="125" t="str">
        <f>report_47_flagged!R22</f>
        <v>NA</v>
      </c>
      <c r="Y29" s="151">
        <f>report_47_flagged!AP22</f>
        <v>9</v>
      </c>
      <c r="Z29" s="125" t="s">
        <v>1899</v>
      </c>
      <c r="AA29" s="125" t="s">
        <v>1899</v>
      </c>
      <c r="AB29" s="151">
        <f>report_47_flagged!AR22</f>
        <v>9</v>
      </c>
      <c r="AC29" s="125" t="s">
        <v>1899</v>
      </c>
      <c r="AD29" s="125" t="s">
        <v>1899</v>
      </c>
      <c r="AE29" s="151">
        <f>report_47_flagged!AT22</f>
        <v>9</v>
      </c>
      <c r="AF29" s="125" t="s">
        <v>1899</v>
      </c>
      <c r="AG29" s="125" t="s">
        <v>1899</v>
      </c>
      <c r="AH29" s="151">
        <f>report_47_flagged!AV22</f>
        <v>9</v>
      </c>
      <c r="AI29" s="125" t="s">
        <v>1899</v>
      </c>
      <c r="AJ29" s="125" t="s">
        <v>1899</v>
      </c>
      <c r="AK29" s="151">
        <f>report_47_flagged!AX22</f>
        <v>9</v>
      </c>
    </row>
    <row r="30" spans="1:37" ht="15.75">
      <c r="A30" s="376">
        <f>report_47_flagged!A23</f>
        <v>2020</v>
      </c>
      <c r="B30" s="376" t="str">
        <f>LEFT(report_47_flagged!B23,2)</f>
        <v>47</v>
      </c>
      <c r="C30" s="376">
        <f>report_47_flagged!E23</f>
        <v>1000</v>
      </c>
      <c r="D30" s="151">
        <f>report_47_flagged!AM23</f>
        <v>995.00000000000011</v>
      </c>
      <c r="E30" s="376" t="str">
        <f>report_47_flagged!D23</f>
        <v>McLane-PARFLUX-Mark78H-21 ; frame# 12419-01, controller# 12419-01 and Motor # 12419-01 Cup set AAx21</v>
      </c>
      <c r="F30" s="376"/>
      <c r="G30" s="376"/>
      <c r="H30" s="376">
        <f>report_47_flagged!C23</f>
        <v>18</v>
      </c>
      <c r="I30" s="376">
        <f>report_47_flagged!F23</f>
        <v>1</v>
      </c>
      <c r="J30" s="139">
        <f>report_47_flagged!AC23</f>
        <v>44252</v>
      </c>
      <c r="K30" s="139">
        <f>report_47_flagged!AD23</f>
        <v>44262</v>
      </c>
      <c r="L30" s="139">
        <f>report_47_flagged!AE23</f>
        <v>44257</v>
      </c>
      <c r="M30" s="151">
        <f>report_47_flagged!AF23</f>
        <v>10</v>
      </c>
      <c r="N30" s="125">
        <f>report_47_flagged!H23</f>
        <v>14.662857142857145</v>
      </c>
      <c r="O30" s="125">
        <f t="shared" si="0"/>
        <v>8.7977142857142872E-3</v>
      </c>
      <c r="P30" s="125">
        <f>report_47_flagged!J23</f>
        <v>1</v>
      </c>
      <c r="Q30" s="475">
        <f>report_47_flagged!BA23</f>
        <v>39.590000000000003</v>
      </c>
      <c r="R30" s="475">
        <f t="shared" si="1"/>
        <v>0.87097999999999998</v>
      </c>
      <c r="S30" s="476">
        <f>report_47_flagged!BB23</f>
        <v>1</v>
      </c>
      <c r="T30" s="475">
        <f>report_47_flagged!BC23</f>
        <v>8.4499999999999993</v>
      </c>
      <c r="U30" s="475">
        <f t="shared" si="2"/>
        <v>0.24504999999999999</v>
      </c>
      <c r="V30" s="476">
        <f>report_47_flagged!BD23</f>
        <v>1</v>
      </c>
      <c r="W30" s="155">
        <f>(report_47_flagged!N23/100)*report_47_flagged!H23</f>
        <v>2.5213498369489402</v>
      </c>
      <c r="X30" s="155">
        <f t="shared" si="3"/>
        <v>5.2969953737233531E-2</v>
      </c>
      <c r="Y30" s="151">
        <f>report_47_flagged!AP23</f>
        <v>1</v>
      </c>
      <c r="Z30" s="155">
        <f>(report_47_flagged!P23/100)*report_47_flagged!H23</f>
        <v>0.23141298445292888</v>
      </c>
      <c r="AA30" s="155">
        <f t="shared" si="4"/>
        <v>8.7947895076676292E-3</v>
      </c>
      <c r="AB30" s="151">
        <f>report_47_flagged!AR23</f>
        <v>1</v>
      </c>
      <c r="AC30" s="155">
        <f>(report_47_flagged!R23/100)*report_47_flagged!H23</f>
        <v>1.3805880640154877</v>
      </c>
      <c r="AD30" s="155">
        <f t="shared" si="5"/>
        <v>3.8665339982812699E-2</v>
      </c>
      <c r="AE30" s="151">
        <f>report_47_flagged!AT23</f>
        <v>1</v>
      </c>
      <c r="AF30" s="155">
        <f>(report_47_flagged!L23/100)*report_47_flagged!H23</f>
        <v>1.1407617729334525</v>
      </c>
      <c r="AG30" s="155">
        <f t="shared" si="6"/>
        <v>2.1685278209554425E-2</v>
      </c>
      <c r="AH30" s="151">
        <f>report_47_flagged!AV23</f>
        <v>1</v>
      </c>
      <c r="AI30" s="155">
        <f>(report_47_flagged!T23/100)*report_47_flagged!H23</f>
        <v>0.34393552062732829</v>
      </c>
      <c r="AJ30" s="155">
        <f t="shared" si="7"/>
        <v>1.6854103899989883E-2</v>
      </c>
      <c r="AK30" s="151">
        <f>report_47_flagged!AX23</f>
        <v>1</v>
      </c>
    </row>
    <row r="31" spans="1:37" ht="15.75">
      <c r="A31" s="376">
        <f>report_47_flagged!A24</f>
        <v>2020</v>
      </c>
      <c r="B31" s="376" t="str">
        <f>LEFT(report_47_flagged!B24,2)</f>
        <v>47</v>
      </c>
      <c r="C31" s="376">
        <f>report_47_flagged!E24</f>
        <v>1000</v>
      </c>
      <c r="D31" s="151">
        <f>report_47_flagged!AM24</f>
        <v>995.00000000000011</v>
      </c>
      <c r="E31" s="376" t="str">
        <f>report_47_flagged!D24</f>
        <v>McLane-PARFLUX-Mark78H-21 ; frame# 12419-01, controller# 12419-01 and Motor # 12419-01 Cup set AAx21</v>
      </c>
      <c r="F31" s="376"/>
      <c r="G31" s="376"/>
      <c r="H31" s="376">
        <f>report_47_flagged!C24</f>
        <v>19</v>
      </c>
      <c r="I31" s="376">
        <f>report_47_flagged!F24</f>
        <v>1</v>
      </c>
      <c r="J31" s="139">
        <f>report_47_flagged!AC24</f>
        <v>44262</v>
      </c>
      <c r="K31" s="139">
        <f>report_47_flagged!AD24</f>
        <v>44272</v>
      </c>
      <c r="L31" s="139">
        <f>report_47_flagged!AE24</f>
        <v>44267</v>
      </c>
      <c r="M31" s="151">
        <f>report_47_flagged!AF24</f>
        <v>10</v>
      </c>
      <c r="N31" s="125">
        <f>report_47_flagged!H24</f>
        <v>23.19142857142857</v>
      </c>
      <c r="O31" s="125">
        <f t="shared" si="0"/>
        <v>1.391485714285714E-2</v>
      </c>
      <c r="P31" s="125">
        <f>report_47_flagged!J24</f>
        <v>1</v>
      </c>
      <c r="Q31" s="475">
        <f>report_47_flagged!BA24</f>
        <v>40.21</v>
      </c>
      <c r="R31" s="475">
        <f t="shared" si="1"/>
        <v>0.88461999999999996</v>
      </c>
      <c r="S31" s="476">
        <f>report_47_flagged!BB24</f>
        <v>1</v>
      </c>
      <c r="T31" s="475">
        <f>report_47_flagged!BC24</f>
        <v>8.5399999999999991</v>
      </c>
      <c r="U31" s="475">
        <f t="shared" si="2"/>
        <v>0.24765999999999999</v>
      </c>
      <c r="V31" s="476">
        <f>report_47_flagged!BD24</f>
        <v>1</v>
      </c>
      <c r="W31" s="155">
        <f>(report_47_flagged!N24/100)*report_47_flagged!H24</f>
        <v>3.7438935290745325</v>
      </c>
      <c r="X31" s="155">
        <f t="shared" si="3"/>
        <v>7.8653848080115524E-2</v>
      </c>
      <c r="Y31" s="151">
        <f>report_47_flagged!AP24</f>
        <v>1</v>
      </c>
      <c r="Z31" s="155">
        <f>(report_47_flagged!P24/100)*report_47_flagged!H24</f>
        <v>0.30348199951648708</v>
      </c>
      <c r="AA31" s="155">
        <f t="shared" si="4"/>
        <v>1.1533753438353412E-2</v>
      </c>
      <c r="AB31" s="151">
        <f>report_47_flagged!AR24</f>
        <v>1</v>
      </c>
      <c r="AC31" s="155">
        <f>(report_47_flagged!R24/100)*report_47_flagged!H24</f>
        <v>1.8572362540917031</v>
      </c>
      <c r="AD31" s="155">
        <f t="shared" si="5"/>
        <v>5.2014553120209819E-2</v>
      </c>
      <c r="AE31" s="151">
        <f>report_47_flagged!AT24</f>
        <v>1</v>
      </c>
      <c r="AF31" s="155">
        <f>(report_47_flagged!L24/100)*report_47_flagged!H24</f>
        <v>1.8866572749828294</v>
      </c>
      <c r="AG31" s="155">
        <f t="shared" si="6"/>
        <v>3.586435736610992E-2</v>
      </c>
      <c r="AH31" s="151">
        <f>report_47_flagged!AV24</f>
        <v>1</v>
      </c>
      <c r="AI31" s="155">
        <f>(report_47_flagged!T24/100)*report_47_flagged!H24</f>
        <v>0.72632336911190687</v>
      </c>
      <c r="AJ31" s="155">
        <f t="shared" si="7"/>
        <v>3.5592513113139899E-2</v>
      </c>
      <c r="AK31" s="151">
        <f>report_47_flagged!AX24</f>
        <v>1</v>
      </c>
    </row>
    <row r="32" spans="1:37" ht="15.75">
      <c r="A32" s="376">
        <f>report_47_flagged!A25</f>
        <v>2020</v>
      </c>
      <c r="B32" s="376" t="str">
        <f>LEFT(report_47_flagged!B25,2)</f>
        <v>47</v>
      </c>
      <c r="C32" s="376">
        <f>report_47_flagged!E25</f>
        <v>1000</v>
      </c>
      <c r="D32" s="151">
        <f>report_47_flagged!AM25</f>
        <v>995.00000000000011</v>
      </c>
      <c r="E32" s="376" t="str">
        <f>report_47_flagged!D25</f>
        <v>McLane-PARFLUX-Mark78H-21 ; frame# 12419-01, controller# 12419-01 and Motor # 12419-01 Cup set AAx21</v>
      </c>
      <c r="F32" s="376"/>
      <c r="G32" s="376"/>
      <c r="H32" s="376">
        <f>report_47_flagged!C25</f>
        <v>20</v>
      </c>
      <c r="I32" s="376">
        <f>report_47_flagged!F25</f>
        <v>1</v>
      </c>
      <c r="J32" s="139">
        <f>report_47_flagged!AC25</f>
        <v>44272</v>
      </c>
      <c r="K32" s="139">
        <f>report_47_flagged!AD25</f>
        <v>44282</v>
      </c>
      <c r="L32" s="139">
        <f>report_47_flagged!AE25</f>
        <v>44277</v>
      </c>
      <c r="M32" s="151">
        <f>report_47_flagged!AF25</f>
        <v>10</v>
      </c>
      <c r="N32" s="125">
        <f>report_47_flagged!H25</f>
        <v>30.399999999999995</v>
      </c>
      <c r="O32" s="125">
        <f t="shared" si="0"/>
        <v>1.8239999999999996E-2</v>
      </c>
      <c r="P32" s="125">
        <f>report_47_flagged!J25</f>
        <v>1</v>
      </c>
      <c r="Q32" s="475">
        <f>report_47_flagged!BA25</f>
        <v>40.159999999999997</v>
      </c>
      <c r="R32" s="475">
        <f t="shared" si="1"/>
        <v>0.88351999999999986</v>
      </c>
      <c r="S32" s="476">
        <f>report_47_flagged!BB25</f>
        <v>1</v>
      </c>
      <c r="T32" s="475">
        <f>report_47_flagged!BC25</f>
        <v>8.5500000000000007</v>
      </c>
      <c r="U32" s="475">
        <f t="shared" si="2"/>
        <v>0.24795000000000003</v>
      </c>
      <c r="V32" s="476">
        <f>report_47_flagged!BD25</f>
        <v>1</v>
      </c>
      <c r="W32" s="155">
        <f>(report_47_flagged!N25/100)*report_47_flagged!H25</f>
        <v>4.9448074035644529</v>
      </c>
      <c r="X32" s="155">
        <f t="shared" si="3"/>
        <v>0.1038833308920325</v>
      </c>
      <c r="Y32" s="151">
        <f>report_47_flagged!AP25</f>
        <v>1</v>
      </c>
      <c r="Z32" s="155">
        <f>(report_47_flagged!P25/100)*report_47_flagged!H25</f>
        <v>0.42818579864501943</v>
      </c>
      <c r="AA32" s="155">
        <f t="shared" si="4"/>
        <v>1.6273088470632007E-2</v>
      </c>
      <c r="AB32" s="151">
        <f>report_47_flagged!AR25</f>
        <v>1</v>
      </c>
      <c r="AC32" s="155">
        <f>(report_47_flagged!R25/100)*report_47_flagged!H25</f>
        <v>2.6687427404585886</v>
      </c>
      <c r="AD32" s="155">
        <f t="shared" si="5"/>
        <v>7.4741950967161935E-2</v>
      </c>
      <c r="AE32" s="151">
        <f>report_47_flagged!AT25</f>
        <v>1</v>
      </c>
      <c r="AF32" s="155">
        <f>(report_47_flagged!L25/100)*report_47_flagged!H25</f>
        <v>2.2760646631058639</v>
      </c>
      <c r="AG32" s="155">
        <f t="shared" si="6"/>
        <v>4.3266785943804335E-2</v>
      </c>
      <c r="AH32" s="151">
        <f>report_47_flagged!AV25</f>
        <v>1</v>
      </c>
      <c r="AI32" s="155">
        <f>(report_47_flagged!T25/100)*report_47_flagged!H25</f>
        <v>1.3586931741158641</v>
      </c>
      <c r="AJ32" s="155">
        <f t="shared" si="7"/>
        <v>6.6580956462384877E-2</v>
      </c>
      <c r="AK32" s="151">
        <f>report_47_flagged!AX25</f>
        <v>1</v>
      </c>
    </row>
    <row r="33" spans="1:37" ht="15.75">
      <c r="A33" s="376">
        <f>report_47_flagged!A26</f>
        <v>2020</v>
      </c>
      <c r="B33" s="376" t="str">
        <f>LEFT(report_47_flagged!B26,2)</f>
        <v>47</v>
      </c>
      <c r="C33" s="376">
        <f>report_47_flagged!E26</f>
        <v>1000</v>
      </c>
      <c r="D33" s="151">
        <f>report_47_flagged!AM26</f>
        <v>995.00000000000011</v>
      </c>
      <c r="E33" s="376" t="str">
        <f>report_47_flagged!D26</f>
        <v>McLane-PARFLUX-Mark78H-21 ; frame# 12419-01, controller# 12419-01 and Motor # 12419-01 Cup set AAx21</v>
      </c>
      <c r="F33" s="376"/>
      <c r="G33" s="376"/>
      <c r="H33" s="376">
        <f>report_47_flagged!C26</f>
        <v>21</v>
      </c>
      <c r="I33" s="376">
        <f>report_47_flagged!F26</f>
        <v>1</v>
      </c>
      <c r="J33" s="139">
        <f>report_47_flagged!AC26</f>
        <v>44282</v>
      </c>
      <c r="K33" s="139">
        <f>report_47_flagged!AD26</f>
        <v>44292</v>
      </c>
      <c r="L33" s="139">
        <f>report_47_flagged!AE26</f>
        <v>44287</v>
      </c>
      <c r="M33" s="151">
        <f>report_47_flagged!AF26</f>
        <v>10</v>
      </c>
      <c r="N33" s="125">
        <f>report_47_flagged!H26</f>
        <v>33.89142857142857</v>
      </c>
      <c r="O33" s="125">
        <f t="shared" si="0"/>
        <v>2.0334857142857141E-2</v>
      </c>
      <c r="P33" s="125">
        <f>report_47_flagged!J26</f>
        <v>1</v>
      </c>
      <c r="Q33" s="475">
        <f>report_47_flagged!BA26</f>
        <v>40.25</v>
      </c>
      <c r="R33" s="475">
        <f t="shared" si="1"/>
        <v>0.88549999999999995</v>
      </c>
      <c r="S33" s="476">
        <f>report_47_flagged!BB26</f>
        <v>1</v>
      </c>
      <c r="T33" s="475">
        <f>report_47_flagged!BC26</f>
        <v>8.59</v>
      </c>
      <c r="U33" s="475">
        <f t="shared" si="2"/>
        <v>0.24911</v>
      </c>
      <c r="V33" s="476">
        <f>report_47_flagged!BD26</f>
        <v>1</v>
      </c>
      <c r="W33" s="155">
        <f>(report_47_flagged!N26/100)*report_47_flagged!H26</f>
        <v>6.3386379537309914</v>
      </c>
      <c r="X33" s="155">
        <f t="shared" si="3"/>
        <v>0.13316571712733835</v>
      </c>
      <c r="Y33" s="151">
        <f>report_47_flagged!AP26</f>
        <v>1</v>
      </c>
      <c r="Z33" s="155">
        <f>(report_47_flagged!P26/100)*report_47_flagged!H26</f>
        <v>0.64748174026353023</v>
      </c>
      <c r="AA33" s="155">
        <f t="shared" si="4"/>
        <v>2.4607372957649962E-2</v>
      </c>
      <c r="AB33" s="151">
        <f>report_47_flagged!AR26</f>
        <v>1</v>
      </c>
      <c r="AC33" s="155">
        <f>(report_47_flagged!R26/100)*report_47_flagged!H26</f>
        <v>3.9341792506837354</v>
      </c>
      <c r="AD33" s="155">
        <f t="shared" si="5"/>
        <v>0.11018230726881575</v>
      </c>
      <c r="AE33" s="151">
        <f>report_47_flagged!AT26</f>
        <v>1</v>
      </c>
      <c r="AF33" s="155">
        <f>(report_47_flagged!L26/100)*report_47_flagged!H26</f>
        <v>2.4044587030472564</v>
      </c>
      <c r="AG33" s="155">
        <f t="shared" si="6"/>
        <v>4.5707488764182035E-2</v>
      </c>
      <c r="AH33" s="151">
        <f>report_47_flagged!AV26</f>
        <v>1</v>
      </c>
      <c r="AI33" s="155">
        <f>(report_47_flagged!T26/100)*report_47_flagged!H26</f>
        <v>1.2872936054062218</v>
      </c>
      <c r="AJ33" s="155">
        <f t="shared" si="7"/>
        <v>6.3082115321313276E-2</v>
      </c>
      <c r="AK33" s="151">
        <f>report_47_flagged!AX26</f>
        <v>1</v>
      </c>
    </row>
    <row r="34" spans="1:37" ht="15.75">
      <c r="A34" s="376">
        <f>report_47_flagged!A27</f>
        <v>2020</v>
      </c>
      <c r="B34" s="376" t="str">
        <f>LEFT(report_47_flagged!B27,2)</f>
        <v>47</v>
      </c>
      <c r="C34" s="376">
        <f>report_47_flagged!E27</f>
        <v>2000</v>
      </c>
      <c r="D34" s="151">
        <f>report_47_flagged!AM27</f>
        <v>1992.1</v>
      </c>
      <c r="E34" s="376" t="str">
        <f>report_47_flagged!D27</f>
        <v>McLane-PARFLUX-Mark78H-21 ; frame# 12419-02, controller# 12419-02 and motor# 12419-02 Cup set ABx21</v>
      </c>
      <c r="F34" s="376"/>
      <c r="G34" s="376"/>
      <c r="H34" s="376">
        <f>report_47_flagged!C27</f>
        <v>1</v>
      </c>
      <c r="I34" s="376">
        <f>report_47_flagged!F27</f>
        <v>1</v>
      </c>
      <c r="J34" s="139">
        <f>report_47_flagged!AC27</f>
        <v>44082</v>
      </c>
      <c r="K34" s="139">
        <f>report_47_flagged!AD27</f>
        <v>44092</v>
      </c>
      <c r="L34" s="139">
        <f>report_47_flagged!AE27</f>
        <v>44087</v>
      </c>
      <c r="M34" s="151">
        <f>report_47_flagged!AF27</f>
        <v>10</v>
      </c>
      <c r="N34" s="125">
        <f>report_47_flagged!H27</f>
        <v>36.394285714285715</v>
      </c>
      <c r="O34" s="125">
        <f t="shared" si="0"/>
        <v>2.1836571428571427E-2</v>
      </c>
      <c r="P34" s="125">
        <f>report_47_flagged!J27</f>
        <v>1</v>
      </c>
      <c r="Q34" s="475">
        <f>report_47_flagged!BA27</f>
        <v>40.29</v>
      </c>
      <c r="R34" s="475">
        <f t="shared" si="1"/>
        <v>0.88637999999999995</v>
      </c>
      <c r="S34" s="476">
        <f>report_47_flagged!BB27</f>
        <v>1</v>
      </c>
      <c r="T34" s="475">
        <f>report_47_flagged!BC27</f>
        <v>8.5500000000000007</v>
      </c>
      <c r="U34" s="475">
        <f t="shared" si="2"/>
        <v>0.24795000000000003</v>
      </c>
      <c r="V34" s="476">
        <f>report_47_flagged!BD27</f>
        <v>1</v>
      </c>
      <c r="W34" s="155">
        <f>(report_47_flagged!N27/100)*report_47_flagged!H27</f>
        <v>5.0463876414707727</v>
      </c>
      <c r="X34" s="155">
        <f t="shared" si="3"/>
        <v>0.1060173863981998</v>
      </c>
      <c r="Y34" s="151">
        <f>report_47_flagged!AP27</f>
        <v>1</v>
      </c>
      <c r="Z34" s="155">
        <f>(report_47_flagged!P27/100)*report_47_flagged!H27</f>
        <v>0.34321716723101481</v>
      </c>
      <c r="AA34" s="155">
        <f t="shared" si="4"/>
        <v>1.3043878018991303E-2</v>
      </c>
      <c r="AB34" s="151">
        <f>report_47_flagged!AR27</f>
        <v>1</v>
      </c>
      <c r="AC34" s="155">
        <f>(report_47_flagged!R27/100)*report_47_flagged!H27</f>
        <v>2.1658860803618953</v>
      </c>
      <c r="AD34" s="155">
        <f t="shared" si="5"/>
        <v>6.0658732205506605E-2</v>
      </c>
      <c r="AE34" s="151">
        <f>report_47_flagged!AT27</f>
        <v>1</v>
      </c>
      <c r="AF34" s="155">
        <f>(report_47_flagged!L27/100)*report_47_flagged!H27</f>
        <v>2.8805015611088778</v>
      </c>
      <c r="AG34" s="155">
        <f t="shared" si="6"/>
        <v>5.4756811823274319E-2</v>
      </c>
      <c r="AH34" s="151">
        <f>report_47_flagged!AV27</f>
        <v>1</v>
      </c>
      <c r="AI34" s="155">
        <f>(report_47_flagged!T27/100)*report_47_flagged!H27</f>
        <v>2.0427250428708885</v>
      </c>
      <c r="AJ34" s="155">
        <f t="shared" si="7"/>
        <v>0.10010103070732862</v>
      </c>
      <c r="AK34" s="151">
        <f>report_47_flagged!AX27</f>
        <v>1</v>
      </c>
    </row>
    <row r="35" spans="1:37" ht="15.75">
      <c r="A35" s="376">
        <f>report_47_flagged!A28</f>
        <v>2020</v>
      </c>
      <c r="B35" s="376" t="str">
        <f>LEFT(report_47_flagged!B28,2)</f>
        <v>47</v>
      </c>
      <c r="C35" s="376">
        <f>report_47_flagged!E28</f>
        <v>2000</v>
      </c>
      <c r="D35" s="151">
        <f>report_47_flagged!AM28</f>
        <v>1992.1</v>
      </c>
      <c r="E35" s="376" t="str">
        <f>report_47_flagged!D28</f>
        <v>McLane-PARFLUX-Mark78H-21 ; frame# 12419-02, controller# 12419-02 and motor# 12419-02 Cup set ABx21</v>
      </c>
      <c r="F35" s="376"/>
      <c r="G35" s="376"/>
      <c r="H35" s="376">
        <f>report_47_flagged!C28</f>
        <v>2</v>
      </c>
      <c r="I35" s="376">
        <f>report_47_flagged!F28</f>
        <v>1</v>
      </c>
      <c r="J35" s="139">
        <f>report_47_flagged!AC28</f>
        <v>44092</v>
      </c>
      <c r="K35" s="139">
        <f>report_47_flagged!AD28</f>
        <v>44102</v>
      </c>
      <c r="L35" s="139">
        <f>report_47_flagged!AE28</f>
        <v>44097</v>
      </c>
      <c r="M35" s="151">
        <f>report_47_flagged!AF28</f>
        <v>10</v>
      </c>
      <c r="N35" s="125">
        <f>report_47_flagged!H28</f>
        <v>57.554285714285712</v>
      </c>
      <c r="O35" s="125">
        <f t="shared" si="0"/>
        <v>3.4532571428571426E-2</v>
      </c>
      <c r="P35" s="125">
        <f>report_47_flagged!J28</f>
        <v>1</v>
      </c>
      <c r="Q35" s="475">
        <f>report_47_flagged!BA28</f>
        <v>40.17</v>
      </c>
      <c r="R35" s="475">
        <f t="shared" si="1"/>
        <v>0.88373999999999997</v>
      </c>
      <c r="S35" s="476">
        <f>report_47_flagged!BB28</f>
        <v>1</v>
      </c>
      <c r="T35" s="475">
        <f>report_47_flagged!BC28</f>
        <v>8.49</v>
      </c>
      <c r="U35" s="475">
        <f t="shared" si="2"/>
        <v>0.24621000000000001</v>
      </c>
      <c r="V35" s="476">
        <f>report_47_flagged!BD28</f>
        <v>1</v>
      </c>
      <c r="W35" s="155">
        <f>(report_47_flagged!N28/100)*report_47_flagged!H28</f>
        <v>8.5353057418823237</v>
      </c>
      <c r="X35" s="155">
        <f t="shared" si="3"/>
        <v>0.17931456541855767</v>
      </c>
      <c r="Y35" s="151">
        <f>report_47_flagged!AP28</f>
        <v>1</v>
      </c>
      <c r="Z35" s="155">
        <f>(report_47_flagged!P28/100)*report_47_flagged!H28</f>
        <v>0.59116248506818503</v>
      </c>
      <c r="AA35" s="155">
        <f t="shared" si="4"/>
        <v>2.2466974501432702E-2</v>
      </c>
      <c r="AB35" s="151">
        <f>report_47_flagged!AR28</f>
        <v>1</v>
      </c>
      <c r="AC35" s="155">
        <f>(report_47_flagged!R28/100)*report_47_flagged!H28</f>
        <v>4.191145518407585</v>
      </c>
      <c r="AD35" s="155">
        <f t="shared" si="5"/>
        <v>0.11737901450149951</v>
      </c>
      <c r="AE35" s="151">
        <f>report_47_flagged!AT28</f>
        <v>1</v>
      </c>
      <c r="AF35" s="155">
        <f>(report_47_flagged!L28/100)*report_47_flagged!H28</f>
        <v>4.3441602234747387</v>
      </c>
      <c r="AG35" s="155">
        <f t="shared" si="6"/>
        <v>8.2580189192950224E-2</v>
      </c>
      <c r="AH35" s="151">
        <f>report_47_flagged!AV28</f>
        <v>1</v>
      </c>
      <c r="AI35" s="155">
        <f>(report_47_flagged!T28/100)*report_47_flagged!H28</f>
        <v>3.1918892178778173</v>
      </c>
      <c r="AJ35" s="155">
        <f t="shared" si="7"/>
        <v>0.1564142965438611</v>
      </c>
      <c r="AK35" s="151">
        <f>report_47_flagged!AX28</f>
        <v>1</v>
      </c>
    </row>
    <row r="36" spans="1:37" ht="15.75">
      <c r="A36" s="376">
        <f>report_47_flagged!A29</f>
        <v>2020</v>
      </c>
      <c r="B36" s="376" t="str">
        <f>LEFT(report_47_flagged!B29,2)</f>
        <v>47</v>
      </c>
      <c r="C36" s="376">
        <f>report_47_flagged!E29</f>
        <v>2000</v>
      </c>
      <c r="D36" s="151">
        <f>report_47_flagged!AM29</f>
        <v>1992.1</v>
      </c>
      <c r="E36" s="376" t="str">
        <f>report_47_flagged!D29</f>
        <v>McLane-PARFLUX-Mark78H-21 ; frame# 12419-02, controller# 12419-02 and motor# 12419-02 Cup set ABx21</v>
      </c>
      <c r="F36" s="376"/>
      <c r="G36" s="376"/>
      <c r="H36" s="376">
        <f>report_47_flagged!C29</f>
        <v>3</v>
      </c>
      <c r="I36" s="376">
        <f>report_47_flagged!F29</f>
        <v>1</v>
      </c>
      <c r="J36" s="139">
        <f>report_47_flagged!AC29</f>
        <v>44102</v>
      </c>
      <c r="K36" s="139">
        <f>report_47_flagged!AD29</f>
        <v>44112</v>
      </c>
      <c r="L36" s="139">
        <f>report_47_flagged!AE29</f>
        <v>44107</v>
      </c>
      <c r="M36" s="151">
        <f>report_47_flagged!AF29</f>
        <v>10</v>
      </c>
      <c r="N36" s="125">
        <f>report_47_flagged!H29</f>
        <v>52.76285714285715</v>
      </c>
      <c r="O36" s="125">
        <f t="shared" si="0"/>
        <v>3.1657714285714289E-2</v>
      </c>
      <c r="P36" s="125">
        <f>report_47_flagged!J29</f>
        <v>1</v>
      </c>
      <c r="Q36" s="475">
        <f>report_47_flagged!BA29</f>
        <v>40.484999999999999</v>
      </c>
      <c r="R36" s="475">
        <f t="shared" si="1"/>
        <v>0.89066999999999996</v>
      </c>
      <c r="S36" s="476">
        <f>report_47_flagged!BB29</f>
        <v>1</v>
      </c>
      <c r="T36" s="475">
        <f>report_47_flagged!BC29</f>
        <v>8.57</v>
      </c>
      <c r="U36" s="475">
        <f t="shared" si="2"/>
        <v>0.24853000000000003</v>
      </c>
      <c r="V36" s="476">
        <f>report_47_flagged!BD29</f>
        <v>1</v>
      </c>
      <c r="W36" s="155">
        <f>(report_47_flagged!N29/100)*report_47_flagged!H29</f>
        <v>7.7790605165209099</v>
      </c>
      <c r="X36" s="155">
        <f t="shared" si="3"/>
        <v>0.16342693490637455</v>
      </c>
      <c r="Y36" s="151">
        <f>report_47_flagged!AP29</f>
        <v>1</v>
      </c>
      <c r="Z36" s="155">
        <f>(report_47_flagged!P29/100)*report_47_flagged!H29</f>
        <v>0.58229474150453298</v>
      </c>
      <c r="AA36" s="155">
        <f t="shared" si="4"/>
        <v>2.2129958243530552E-2</v>
      </c>
      <c r="AB36" s="151">
        <f>report_47_flagged!AR29</f>
        <v>1</v>
      </c>
      <c r="AC36" s="155">
        <f>(report_47_flagged!R29/100)*report_47_flagged!H29</f>
        <v>3.671160250878637</v>
      </c>
      <c r="AD36" s="155">
        <f t="shared" si="5"/>
        <v>0.10281608463190225</v>
      </c>
      <c r="AE36" s="151">
        <f>report_47_flagged!AT29</f>
        <v>1</v>
      </c>
      <c r="AF36" s="155">
        <f>(report_47_flagged!L29/100)*report_47_flagged!H29</f>
        <v>4.1079002656422725</v>
      </c>
      <c r="AG36" s="155">
        <f t="shared" si="6"/>
        <v>7.8089012299636232E-2</v>
      </c>
      <c r="AH36" s="151">
        <f>report_47_flagged!AV29</f>
        <v>1</v>
      </c>
      <c r="AI36" s="155">
        <f>(report_47_flagged!T29/100)*report_47_flagged!H29</f>
        <v>2.6209257063931726</v>
      </c>
      <c r="AJ36" s="155">
        <f t="shared" si="7"/>
        <v>0.12843498714274701</v>
      </c>
      <c r="AK36" s="151">
        <f>report_47_flagged!AX29</f>
        <v>1</v>
      </c>
    </row>
    <row r="37" spans="1:37" ht="15.75">
      <c r="A37" s="376">
        <f>report_47_flagged!A30</f>
        <v>2020</v>
      </c>
      <c r="B37" s="376" t="str">
        <f>LEFT(report_47_flagged!B30,2)</f>
        <v>47</v>
      </c>
      <c r="C37" s="376">
        <f>report_47_flagged!E30</f>
        <v>2000</v>
      </c>
      <c r="D37" s="151">
        <f>report_47_flagged!AM30</f>
        <v>1992.1</v>
      </c>
      <c r="E37" s="376" t="str">
        <f>report_47_flagged!D30</f>
        <v>McLane-PARFLUX-Mark78H-21 ; frame# 12419-02, controller# 12419-02 and motor# 12419-02 Cup set ABx21</v>
      </c>
      <c r="F37" s="376"/>
      <c r="G37" s="376"/>
      <c r="H37" s="376">
        <f>report_47_flagged!C30</f>
        <v>4</v>
      </c>
      <c r="I37" s="376">
        <f>report_47_flagged!F30</f>
        <v>1</v>
      </c>
      <c r="J37" s="139">
        <f>report_47_flagged!AC30</f>
        <v>44112</v>
      </c>
      <c r="K37" s="139">
        <f>report_47_flagged!AD30</f>
        <v>44122</v>
      </c>
      <c r="L37" s="139">
        <f>report_47_flagged!AE30</f>
        <v>44117</v>
      </c>
      <c r="M37" s="151">
        <f>report_47_flagged!AF30</f>
        <v>10</v>
      </c>
      <c r="N37" s="125">
        <f>report_47_flagged!H30</f>
        <v>74.705714285714294</v>
      </c>
      <c r="O37" s="125">
        <f>N37*$N$5</f>
        <v>4.482342857142857E-2</v>
      </c>
      <c r="P37" s="125">
        <f>report_47_flagged!J30</f>
        <v>1</v>
      </c>
      <c r="Q37" s="475">
        <f>report_47_flagged!BA30</f>
        <v>40.58</v>
      </c>
      <c r="R37" s="475">
        <f>Q37*$Q$5</f>
        <v>0.89275999999999989</v>
      </c>
      <c r="S37" s="476">
        <f>report_47_flagged!BB30</f>
        <v>1</v>
      </c>
      <c r="T37" s="475">
        <f>report_47_flagged!BC30</f>
        <v>8.5399999999999991</v>
      </c>
      <c r="U37" s="475">
        <f>T37*$T$5</f>
        <v>0.24765999999999999</v>
      </c>
      <c r="V37" s="476">
        <f>report_47_flagged!BD30</f>
        <v>1</v>
      </c>
      <c r="W37" s="155">
        <f>(report_47_flagged!N30/100)*report_47_flagged!H30</f>
        <v>10.746880262974331</v>
      </c>
      <c r="X37" s="155">
        <f>W37*SQRT(($W$5)^2+($N$5)^2)</f>
        <v>0.22577658284746249</v>
      </c>
      <c r="Y37" s="151">
        <f>report_47_flagged!AP30</f>
        <v>1</v>
      </c>
      <c r="Z37" s="155">
        <f>(report_47_flagged!P30/100)*report_47_flagged!H30</f>
        <v>0.72813230996302203</v>
      </c>
      <c r="AA37" s="155">
        <f>Z37*SQRT(($Z$5)^2+($N$5)^2)</f>
        <v>2.7672476611437312E-2</v>
      </c>
      <c r="AB37" s="151">
        <f>report_47_flagged!AR30</f>
        <v>1</v>
      </c>
      <c r="AC37" s="155">
        <f>(report_47_flagged!R30/100)*report_47_flagged!H30</f>
        <v>4.6678058042727884</v>
      </c>
      <c r="AD37" s="155">
        <f>AC37*SQRT(($AC$5)^2+($N$5)^2)</f>
        <v>0.13072856639873801</v>
      </c>
      <c r="AE37" s="151">
        <f>report_47_flagged!AT30</f>
        <v>1</v>
      </c>
      <c r="AF37" s="155">
        <f>(report_47_flagged!L30/100)*report_47_flagged!H30</f>
        <v>6.0790744587015428</v>
      </c>
      <c r="AG37" s="155">
        <f>AF37*SQRT(($AF$5)^2+($N$5)^2)</f>
        <v>0.11555999159627314</v>
      </c>
      <c r="AH37" s="151">
        <f>report_47_flagged!AV30</f>
        <v>1</v>
      </c>
      <c r="AI37" s="155">
        <f>(report_47_flagged!T30/100)*report_47_flagged!H30</f>
        <v>3.5086718071866136</v>
      </c>
      <c r="AJ37" s="155">
        <f>AI37*SQRT(($AI$5)^2+($N$5)^2)</f>
        <v>0.17193780706751954</v>
      </c>
      <c r="AK37" s="151">
        <f>report_47_flagged!AX30</f>
        <v>1</v>
      </c>
    </row>
    <row r="38" spans="1:37" ht="15.75">
      <c r="A38" s="376">
        <f>report_47_flagged!A31</f>
        <v>2020</v>
      </c>
      <c r="B38" s="376" t="str">
        <f>LEFT(report_47_flagged!B31,2)</f>
        <v>47</v>
      </c>
      <c r="C38" s="376">
        <f>report_47_flagged!E31</f>
        <v>2000</v>
      </c>
      <c r="D38" s="151">
        <f>report_47_flagged!AM31</f>
        <v>1992.1</v>
      </c>
      <c r="E38" s="376" t="str">
        <f>report_47_flagged!D31</f>
        <v>McLane-PARFLUX-Mark78H-21 ; frame# 12419-02, controller# 12419-02 and motor# 12419-02 Cup set ABx21</v>
      </c>
      <c r="F38" s="376"/>
      <c r="G38" s="376"/>
      <c r="H38" s="376">
        <f>report_47_flagged!C31</f>
        <v>5</v>
      </c>
      <c r="I38" s="376">
        <f>report_47_flagged!F31</f>
        <v>1</v>
      </c>
      <c r="J38" s="139">
        <f>report_47_flagged!AC31</f>
        <v>44122</v>
      </c>
      <c r="K38" s="139">
        <f>report_47_flagged!AD31</f>
        <v>44132</v>
      </c>
      <c r="L38" s="139">
        <f>report_47_flagged!AE31</f>
        <v>44127</v>
      </c>
      <c r="M38" s="151">
        <f>report_47_flagged!AF31</f>
        <v>10</v>
      </c>
      <c r="N38" s="125">
        <f>report_47_flagged!H31</f>
        <v>91.08</v>
      </c>
      <c r="O38" s="125">
        <f t="shared" si="0"/>
        <v>5.4647999999999995E-2</v>
      </c>
      <c r="P38" s="125">
        <f>report_47_flagged!J31</f>
        <v>1</v>
      </c>
      <c r="Q38" s="475">
        <f>report_47_flagged!BA31</f>
        <v>40.1</v>
      </c>
      <c r="R38" s="475">
        <f t="shared" si="1"/>
        <v>0.88219999999999998</v>
      </c>
      <c r="S38" s="476">
        <f>report_47_flagged!BB31</f>
        <v>1</v>
      </c>
      <c r="T38" s="475">
        <f>report_47_flagged!BC31</f>
        <v>8.59</v>
      </c>
      <c r="U38" s="475">
        <f t="shared" si="2"/>
        <v>0.24911</v>
      </c>
      <c r="V38" s="476">
        <f>report_47_flagged!BD31</f>
        <v>1</v>
      </c>
      <c r="W38" s="155">
        <f>(report_47_flagged!N31/100)*report_47_flagged!H31</f>
        <v>12.751120956802369</v>
      </c>
      <c r="X38" s="155">
        <f t="shared" si="3"/>
        <v>0.26788281311926826</v>
      </c>
      <c r="Y38" s="151">
        <f>report_47_flagged!AP31</f>
        <v>1</v>
      </c>
      <c r="Z38" s="155">
        <f>(report_47_flagged!P31/100)*report_47_flagged!H31</f>
        <v>0.74473263044357307</v>
      </c>
      <c r="AA38" s="155">
        <f t="shared" si="4"/>
        <v>2.8303367417894919E-2</v>
      </c>
      <c r="AB38" s="151">
        <f>report_47_flagged!AR31</f>
        <v>1</v>
      </c>
      <c r="AC38" s="155">
        <f>(report_47_flagged!R31/100)*report_47_flagged!H31</f>
        <v>5.2330425913561243</v>
      </c>
      <c r="AD38" s="155">
        <f t="shared" si="5"/>
        <v>0.14655882968509706</v>
      </c>
      <c r="AE38" s="151">
        <f>report_47_flagged!AT31</f>
        <v>1</v>
      </c>
      <c r="AF38" s="155">
        <f>(report_47_flagged!L31/100)*report_47_flagged!H31</f>
        <v>7.5180783654462431</v>
      </c>
      <c r="AG38" s="155">
        <f t="shared" si="6"/>
        <v>0.14291469509598001</v>
      </c>
      <c r="AH38" s="151">
        <f>report_47_flagged!AV31</f>
        <v>1</v>
      </c>
      <c r="AI38" s="155">
        <f>(report_47_flagged!T31/100)*report_47_flagged!H31</f>
        <v>3.6283546333127119</v>
      </c>
      <c r="AJ38" s="155">
        <f t="shared" si="7"/>
        <v>0.17780270518241756</v>
      </c>
      <c r="AK38" s="151">
        <f>report_47_flagged!AX31</f>
        <v>1</v>
      </c>
    </row>
    <row r="39" spans="1:37" ht="15.75">
      <c r="A39" s="376">
        <f>report_47_flagged!A32</f>
        <v>2020</v>
      </c>
      <c r="B39" s="376" t="str">
        <f>LEFT(report_47_flagged!B32,2)</f>
        <v>47</v>
      </c>
      <c r="C39" s="376">
        <f>report_47_flagged!E32</f>
        <v>2000</v>
      </c>
      <c r="D39" s="151">
        <f>report_47_flagged!AM32</f>
        <v>1992.1</v>
      </c>
      <c r="E39" s="376" t="str">
        <f>report_47_flagged!D32</f>
        <v>McLane-PARFLUX-Mark78H-21 ; frame# 12419-02, controller# 12419-02 and motor# 12419-02 Cup set ABx21</v>
      </c>
      <c r="F39" s="376"/>
      <c r="G39" s="376"/>
      <c r="H39" s="376">
        <f>report_47_flagged!C32</f>
        <v>6</v>
      </c>
      <c r="I39" s="376">
        <f>report_47_flagged!F32</f>
        <v>1</v>
      </c>
      <c r="J39" s="139">
        <f>report_47_flagged!AC32</f>
        <v>44132</v>
      </c>
      <c r="K39" s="139">
        <f>report_47_flagged!AD32</f>
        <v>44142</v>
      </c>
      <c r="L39" s="139">
        <f>report_47_flagged!AE32</f>
        <v>44137</v>
      </c>
      <c r="M39" s="151">
        <f>report_47_flagged!AF32</f>
        <v>10</v>
      </c>
      <c r="N39" s="125">
        <f>report_47_flagged!H32</f>
        <v>74.52</v>
      </c>
      <c r="O39" s="125">
        <f t="shared" si="0"/>
        <v>4.4711999999999995E-2</v>
      </c>
      <c r="P39" s="125">
        <f>report_47_flagged!J32</f>
        <v>1</v>
      </c>
      <c r="Q39" s="475">
        <f>report_47_flagged!BA32</f>
        <v>40.590000000000003</v>
      </c>
      <c r="R39" s="475">
        <f t="shared" si="1"/>
        <v>0.89298</v>
      </c>
      <c r="S39" s="476">
        <f>report_47_flagged!BB32</f>
        <v>1</v>
      </c>
      <c r="T39" s="475">
        <f>report_47_flagged!BC32</f>
        <v>8.58</v>
      </c>
      <c r="U39" s="475">
        <f t="shared" si="2"/>
        <v>0.24882000000000001</v>
      </c>
      <c r="V39" s="476">
        <f>report_47_flagged!BD32</f>
        <v>1</v>
      </c>
      <c r="W39" s="155">
        <f>(report_47_flagged!N32/100)*report_47_flagged!H32</f>
        <v>10.029299005508424</v>
      </c>
      <c r="X39" s="155">
        <f t="shared" si="3"/>
        <v>0.21070122699891797</v>
      </c>
      <c r="Y39" s="151">
        <f>report_47_flagged!AP32</f>
        <v>1</v>
      </c>
      <c r="Z39" s="155">
        <f>(report_47_flagged!P32/100)*report_47_flagged!H32</f>
        <v>0.52589761919975275</v>
      </c>
      <c r="AA39" s="155">
        <f t="shared" si="4"/>
        <v>1.9986600468333546E-2</v>
      </c>
      <c r="AB39" s="151">
        <f>report_47_flagged!AR32</f>
        <v>1</v>
      </c>
      <c r="AC39" s="155">
        <f>(report_47_flagged!R32/100)*report_47_flagged!H32</f>
        <v>3.6412070225161517</v>
      </c>
      <c r="AD39" s="155">
        <f t="shared" si="5"/>
        <v>0.10197720170338424</v>
      </c>
      <c r="AE39" s="151">
        <f>report_47_flagged!AT32</f>
        <v>1</v>
      </c>
      <c r="AF39" s="155">
        <f>(report_47_flagged!L32/100)*report_47_flagged!H32</f>
        <v>6.38809198299227</v>
      </c>
      <c r="AG39" s="155">
        <f t="shared" si="6"/>
        <v>0.12143425136274506</v>
      </c>
      <c r="AH39" s="151">
        <f>report_47_flagged!AV32</f>
        <v>1</v>
      </c>
      <c r="AI39" s="155">
        <f>(report_47_flagged!T32/100)*report_47_flagged!H32</f>
        <v>2.8786115385609423</v>
      </c>
      <c r="AJ39" s="155">
        <f t="shared" si="7"/>
        <v>0.14106253948450376</v>
      </c>
      <c r="AK39" s="151">
        <f>report_47_flagged!AX32</f>
        <v>1</v>
      </c>
    </row>
    <row r="40" spans="1:37" ht="15.75">
      <c r="A40" s="376">
        <f>report_47_flagged!A33</f>
        <v>2020</v>
      </c>
      <c r="B40" s="376" t="str">
        <f>LEFT(report_47_flagged!B33,2)</f>
        <v>47</v>
      </c>
      <c r="C40" s="376">
        <f>report_47_flagged!E33</f>
        <v>2000</v>
      </c>
      <c r="D40" s="151">
        <f>report_47_flagged!AM33</f>
        <v>1992.1</v>
      </c>
      <c r="E40" s="376" t="str">
        <f>report_47_flagged!D33</f>
        <v>McLane-PARFLUX-Mark78H-21 ; frame# 12419-02, controller# 12419-02 and motor# 12419-02 Cup set ABx21</v>
      </c>
      <c r="F40" s="376"/>
      <c r="G40" s="376"/>
      <c r="H40" s="376">
        <f>report_47_flagged!C33</f>
        <v>7</v>
      </c>
      <c r="I40" s="376">
        <f>report_47_flagged!F33</f>
        <v>1</v>
      </c>
      <c r="J40" s="139">
        <f>report_47_flagged!AC33</f>
        <v>44142</v>
      </c>
      <c r="K40" s="139">
        <f>report_47_flagged!AD33</f>
        <v>44152</v>
      </c>
      <c r="L40" s="139">
        <f>report_47_flagged!AE33</f>
        <v>44147</v>
      </c>
      <c r="M40" s="151">
        <f>report_47_flagged!AF33</f>
        <v>10</v>
      </c>
      <c r="N40" s="125">
        <f>report_47_flagged!H33</f>
        <v>82.854285714285723</v>
      </c>
      <c r="O40" s="125">
        <f t="shared" si="0"/>
        <v>4.9712571428571432E-2</v>
      </c>
      <c r="P40" s="125">
        <f>report_47_flagged!J33</f>
        <v>1</v>
      </c>
      <c r="Q40" s="475">
        <f>report_47_flagged!BA33</f>
        <v>40.4</v>
      </c>
      <c r="R40" s="475">
        <f t="shared" si="1"/>
        <v>0.88879999999999992</v>
      </c>
      <c r="S40" s="476">
        <f>report_47_flagged!BB33</f>
        <v>1</v>
      </c>
      <c r="T40" s="475">
        <f>report_47_flagged!BC33</f>
        <v>8.57</v>
      </c>
      <c r="U40" s="475">
        <f t="shared" si="2"/>
        <v>0.24853000000000003</v>
      </c>
      <c r="V40" s="476">
        <f>report_47_flagged!BD33</f>
        <v>1</v>
      </c>
      <c r="W40" s="155">
        <f>(report_47_flagged!N33/100)*report_47_flagged!H33</f>
        <v>11.442348669542586</v>
      </c>
      <c r="X40" s="155">
        <f t="shared" si="3"/>
        <v>0.24038737932709991</v>
      </c>
      <c r="Y40" s="151">
        <f>report_47_flagged!AP33</f>
        <v>1</v>
      </c>
      <c r="Z40" s="155">
        <f>(report_47_flagged!P33/100)*report_47_flagged!H33</f>
        <v>0.61273488946131305</v>
      </c>
      <c r="AA40" s="155">
        <f t="shared" si="4"/>
        <v>2.3286828047076925E-2</v>
      </c>
      <c r="AB40" s="151">
        <f>report_47_flagged!AR33</f>
        <v>1</v>
      </c>
      <c r="AC40" s="155">
        <f>(report_47_flagged!R33/100)*report_47_flagged!H33</f>
        <v>4.3150169199873245</v>
      </c>
      <c r="AD40" s="155">
        <f t="shared" si="5"/>
        <v>0.12084820997049237</v>
      </c>
      <c r="AE40" s="151">
        <f>report_47_flagged!AT33</f>
        <v>1</v>
      </c>
      <c r="AF40" s="155">
        <f>(report_47_flagged!L33/100)*report_47_flagged!H33</f>
        <v>7.1273317495552622</v>
      </c>
      <c r="AG40" s="155">
        <f t="shared" si="6"/>
        <v>0.13548680850643516</v>
      </c>
      <c r="AH40" s="151">
        <f>report_47_flagged!AV33</f>
        <v>1</v>
      </c>
      <c r="AI40" s="155">
        <f>(report_47_flagged!T33/100)*report_47_flagged!H33</f>
        <v>3.0472099187027406</v>
      </c>
      <c r="AJ40" s="155">
        <f t="shared" si="7"/>
        <v>0.14932447942922628</v>
      </c>
      <c r="AK40" s="151">
        <f>report_47_flagged!AX33</f>
        <v>1</v>
      </c>
    </row>
    <row r="41" spans="1:37" ht="15.75">
      <c r="A41" s="376">
        <f>report_47_flagged!A34</f>
        <v>2020</v>
      </c>
      <c r="B41" s="376" t="str">
        <f>LEFT(report_47_flagged!B34,2)</f>
        <v>47</v>
      </c>
      <c r="C41" s="376">
        <f>report_47_flagged!E34</f>
        <v>2000</v>
      </c>
      <c r="D41" s="151">
        <f>report_47_flagged!AM34</f>
        <v>1992.1</v>
      </c>
      <c r="E41" s="376" t="str">
        <f>report_47_flagged!D34</f>
        <v>McLane-PARFLUX-Mark78H-21 ; frame# 12419-02, controller# 12419-02 and motor# 12419-02 Cup set ABx21</v>
      </c>
      <c r="F41" s="376"/>
      <c r="G41" s="376"/>
      <c r="H41" s="376">
        <f>report_47_flagged!C34</f>
        <v>8</v>
      </c>
      <c r="I41" s="376">
        <f>report_47_flagged!F34</f>
        <v>1</v>
      </c>
      <c r="J41" s="139">
        <f>report_47_flagged!AC34</f>
        <v>44152</v>
      </c>
      <c r="K41" s="139">
        <f>report_47_flagged!AD34</f>
        <v>44162</v>
      </c>
      <c r="L41" s="139">
        <f>report_47_flagged!AE34</f>
        <v>44157</v>
      </c>
      <c r="M41" s="151">
        <f>report_47_flagged!AF34</f>
        <v>10</v>
      </c>
      <c r="N41" s="125">
        <f>report_47_flagged!H34</f>
        <v>66.531428571428577</v>
      </c>
      <c r="O41" s="125">
        <f t="shared" si="0"/>
        <v>3.9918857142857145E-2</v>
      </c>
      <c r="P41" s="125">
        <f>report_47_flagged!J34</f>
        <v>1</v>
      </c>
      <c r="Q41" s="475">
        <f>report_47_flagged!BA34</f>
        <v>40.43</v>
      </c>
      <c r="R41" s="475">
        <f t="shared" si="1"/>
        <v>0.88945999999999992</v>
      </c>
      <c r="S41" s="476">
        <f>report_47_flagged!BB34</f>
        <v>1</v>
      </c>
      <c r="T41" s="475">
        <f>report_47_flagged!BC34</f>
        <v>8.59</v>
      </c>
      <c r="U41" s="475">
        <f t="shared" si="2"/>
        <v>0.24911</v>
      </c>
      <c r="V41" s="476">
        <f>report_47_flagged!BD34</f>
        <v>1</v>
      </c>
      <c r="W41" s="155">
        <f>(report_47_flagged!N34/100)*report_47_flagged!H34</f>
        <v>9.1986513187408452</v>
      </c>
      <c r="X41" s="155">
        <f t="shared" si="3"/>
        <v>0.19325050719191894</v>
      </c>
      <c r="Y41" s="151">
        <f>report_47_flagged!AP34</f>
        <v>1</v>
      </c>
      <c r="Z41" s="155">
        <f>(report_47_flagged!P34/100)*report_47_flagged!H34</f>
        <v>0.50462580317769734</v>
      </c>
      <c r="AA41" s="155">
        <f t="shared" si="4"/>
        <v>1.9178170704541003E-2</v>
      </c>
      <c r="AB41" s="151">
        <f>report_47_flagged!AR34</f>
        <v>1</v>
      </c>
      <c r="AC41" s="155">
        <f>(report_47_flagged!R34/100)*report_47_flagged!H34</f>
        <v>3.6130369738137706</v>
      </c>
      <c r="AD41" s="155">
        <f t="shared" si="5"/>
        <v>0.10118825926733133</v>
      </c>
      <c r="AE41" s="151">
        <f>report_47_flagged!AT34</f>
        <v>1</v>
      </c>
      <c r="AF41" s="155">
        <f>(report_47_flagged!L34/100)*report_47_flagged!H34</f>
        <v>5.585614344927075</v>
      </c>
      <c r="AG41" s="155">
        <f t="shared" si="6"/>
        <v>0.10617957571417296</v>
      </c>
      <c r="AH41" s="151">
        <f>report_47_flagged!AV34</f>
        <v>1</v>
      </c>
      <c r="AI41" s="155">
        <f>(report_47_flagged!T34/100)*report_47_flagged!H34</f>
        <v>2.361512531458422</v>
      </c>
      <c r="AJ41" s="155">
        <f t="shared" si="7"/>
        <v>0.11572278866030526</v>
      </c>
      <c r="AK41" s="151">
        <f>report_47_flagged!AX34</f>
        <v>1</v>
      </c>
    </row>
    <row r="42" spans="1:37" ht="15.75">
      <c r="A42" s="376">
        <f>report_47_flagged!A35</f>
        <v>2020</v>
      </c>
      <c r="B42" s="376" t="str">
        <f>LEFT(report_47_flagged!B35,2)</f>
        <v>47</v>
      </c>
      <c r="C42" s="376">
        <f>report_47_flagged!E35</f>
        <v>2000</v>
      </c>
      <c r="D42" s="151">
        <f>report_47_flagged!AM35</f>
        <v>1992.1</v>
      </c>
      <c r="E42" s="376" t="str">
        <f>report_47_flagged!D35</f>
        <v>McLane-PARFLUX-Mark78H-21 ; frame# 12419-02, controller# 12419-02 and motor# 12419-02 Cup set ABx21</v>
      </c>
      <c r="F42" s="376"/>
      <c r="G42" s="376"/>
      <c r="H42" s="376">
        <f>report_47_flagged!C35</f>
        <v>9</v>
      </c>
      <c r="I42" s="376">
        <f>report_47_flagged!F35</f>
        <v>1</v>
      </c>
      <c r="J42" s="139">
        <f>report_47_flagged!AC35</f>
        <v>44162</v>
      </c>
      <c r="K42" s="139">
        <f>report_47_flagged!AD35</f>
        <v>44172</v>
      </c>
      <c r="L42" s="139">
        <f>report_47_flagged!AE35</f>
        <v>44167</v>
      </c>
      <c r="M42" s="151">
        <f>report_47_flagged!AF35</f>
        <v>10</v>
      </c>
      <c r="N42" s="125">
        <f>report_47_flagged!H35</f>
        <v>92.48</v>
      </c>
      <c r="O42" s="125">
        <f t="shared" si="0"/>
        <v>5.5487999999999996E-2</v>
      </c>
      <c r="P42" s="125">
        <f>report_47_flagged!J35</f>
        <v>1</v>
      </c>
      <c r="Q42" s="475">
        <f>report_47_flagged!BA35</f>
        <v>40.14</v>
      </c>
      <c r="R42" s="475">
        <f t="shared" si="1"/>
        <v>0.88307999999999998</v>
      </c>
      <c r="S42" s="476">
        <f>report_47_flagged!BB35</f>
        <v>1</v>
      </c>
      <c r="T42" s="475">
        <f>report_47_flagged!BC35</f>
        <v>8.58</v>
      </c>
      <c r="U42" s="475">
        <f t="shared" si="2"/>
        <v>0.24882000000000001</v>
      </c>
      <c r="V42" s="476">
        <f>report_47_flagged!BD35</f>
        <v>1</v>
      </c>
      <c r="W42" s="155">
        <f>(report_47_flagged!N35/100)*report_47_flagged!H35</f>
        <v>12.574884954833985</v>
      </c>
      <c r="X42" s="155">
        <f t="shared" si="3"/>
        <v>0.26418034679178842</v>
      </c>
      <c r="Y42" s="151">
        <f>report_47_flagged!AP35</f>
        <v>1</v>
      </c>
      <c r="Z42" s="155">
        <f>(report_47_flagged!P35/100)*report_47_flagged!H35</f>
        <v>0.69095881137847903</v>
      </c>
      <c r="AA42" s="155">
        <f t="shared" si="4"/>
        <v>2.6259707591204839E-2</v>
      </c>
      <c r="AB42" s="151">
        <f>report_47_flagged!AR35</f>
        <v>1</v>
      </c>
      <c r="AC42" s="155">
        <f>(report_47_flagged!R35/100)*report_47_flagged!H35</f>
        <v>5.0181833281175017</v>
      </c>
      <c r="AD42" s="155">
        <f t="shared" si="5"/>
        <v>0.1405413892348189</v>
      </c>
      <c r="AE42" s="151">
        <f>report_47_flagged!AT35</f>
        <v>1</v>
      </c>
      <c r="AF42" s="155">
        <f>(report_47_flagged!L35/100)*report_47_flagged!H35</f>
        <v>7.5567016267164835</v>
      </c>
      <c r="AG42" s="155">
        <f t="shared" si="6"/>
        <v>0.14364890287351775</v>
      </c>
      <c r="AH42" s="151">
        <f>report_47_flagged!AV35</f>
        <v>1</v>
      </c>
      <c r="AI42" s="155">
        <f>(report_47_flagged!T35/100)*report_47_flagged!H35</f>
        <v>3.6666448202531807</v>
      </c>
      <c r="AJ42" s="155">
        <f t="shared" si="7"/>
        <v>0.17967906499505804</v>
      </c>
      <c r="AK42" s="151">
        <f>report_47_flagged!AX35</f>
        <v>1</v>
      </c>
    </row>
    <row r="43" spans="1:37" ht="15.75">
      <c r="A43" s="376">
        <f>report_47_flagged!A36</f>
        <v>2020</v>
      </c>
      <c r="B43" s="376" t="str">
        <f>LEFT(report_47_flagged!B36,2)</f>
        <v>47</v>
      </c>
      <c r="C43" s="376">
        <f>report_47_flagged!E36</f>
        <v>2000</v>
      </c>
      <c r="D43" s="151">
        <f>report_47_flagged!AM36</f>
        <v>1992.1</v>
      </c>
      <c r="E43" s="376" t="str">
        <f>report_47_flagged!D36</f>
        <v>McLane-PARFLUX-Mark78H-21 ; frame# 12419-02, controller# 12419-02 and motor# 12419-02 Cup set ABx21</v>
      </c>
      <c r="F43" s="376"/>
      <c r="G43" s="376"/>
      <c r="H43" s="376">
        <f>report_47_flagged!C36</f>
        <v>10</v>
      </c>
      <c r="I43" s="376">
        <f>report_47_flagged!F36</f>
        <v>1</v>
      </c>
      <c r="J43" s="139">
        <f>report_47_flagged!AC36</f>
        <v>44172</v>
      </c>
      <c r="K43" s="139">
        <f>report_47_flagged!AD36</f>
        <v>44182</v>
      </c>
      <c r="L43" s="139">
        <f>report_47_flagged!AE36</f>
        <v>44177</v>
      </c>
      <c r="M43" s="151">
        <f>report_47_flagged!AF36</f>
        <v>10</v>
      </c>
      <c r="N43" s="125">
        <f>report_47_flagged!H36</f>
        <v>71.562857142857155</v>
      </c>
      <c r="O43" s="125">
        <f t="shared" si="0"/>
        <v>4.2937714285714287E-2</v>
      </c>
      <c r="P43" s="125">
        <f>report_47_flagged!J36</f>
        <v>1</v>
      </c>
      <c r="Q43" s="475">
        <f>report_47_flagged!BA36</f>
        <v>40.130000000000003</v>
      </c>
      <c r="R43" s="475">
        <f t="shared" si="1"/>
        <v>0.88285999999999998</v>
      </c>
      <c r="S43" s="476">
        <f>report_47_flagged!BB36</f>
        <v>1</v>
      </c>
      <c r="T43" s="475">
        <f>report_47_flagged!BC36</f>
        <v>8.5500000000000007</v>
      </c>
      <c r="U43" s="475">
        <f t="shared" si="2"/>
        <v>0.24795000000000003</v>
      </c>
      <c r="V43" s="476">
        <f>report_47_flagged!BD36</f>
        <v>1</v>
      </c>
      <c r="W43" s="155">
        <f>(report_47_flagged!N36/100)*report_47_flagged!H36</f>
        <v>9.6982291442053672</v>
      </c>
      <c r="X43" s="155">
        <f t="shared" si="3"/>
        <v>0.20374592274878017</v>
      </c>
      <c r="Y43" s="151">
        <f>report_47_flagged!AP36</f>
        <v>1</v>
      </c>
      <c r="Z43" s="155">
        <f>(report_47_flagged!P36/100)*report_47_flagged!H36</f>
        <v>0.60895935743195684</v>
      </c>
      <c r="AA43" s="155">
        <f t="shared" si="4"/>
        <v>2.3143339946976826E-2</v>
      </c>
      <c r="AB43" s="151">
        <f>report_47_flagged!AR36</f>
        <v>1</v>
      </c>
      <c r="AC43" s="155">
        <f>(report_47_flagged!R36/100)*report_47_flagged!H36</f>
        <v>4.0713005902091055</v>
      </c>
      <c r="AD43" s="155">
        <f t="shared" si="5"/>
        <v>0.11402258616868291</v>
      </c>
      <c r="AE43" s="151">
        <f>report_47_flagged!AT36</f>
        <v>1</v>
      </c>
      <c r="AF43" s="155">
        <f>(report_47_flagged!L36/100)*report_47_flagged!H36</f>
        <v>5.6269285539962617</v>
      </c>
      <c r="AG43" s="155">
        <f t="shared" si="6"/>
        <v>0.10696493698672788</v>
      </c>
      <c r="AH43" s="151">
        <f>report_47_flagged!AV36</f>
        <v>1</v>
      </c>
      <c r="AI43" s="155">
        <f>(report_47_flagged!T36/100)*report_47_flagged!H36</f>
        <v>4.372155391459045</v>
      </c>
      <c r="AJ43" s="155">
        <f t="shared" si="7"/>
        <v>0.21425167455849151</v>
      </c>
      <c r="AK43" s="151">
        <f>report_47_flagged!AX36</f>
        <v>1</v>
      </c>
    </row>
    <row r="44" spans="1:37" ht="15.75">
      <c r="A44" s="376">
        <f>report_47_flagged!A37</f>
        <v>2020</v>
      </c>
      <c r="B44" s="376" t="str">
        <f>LEFT(report_47_flagged!B37,2)</f>
        <v>47</v>
      </c>
      <c r="C44" s="376">
        <f>report_47_flagged!E37</f>
        <v>2000</v>
      </c>
      <c r="D44" s="151">
        <f>report_47_flagged!AM37</f>
        <v>1992.1</v>
      </c>
      <c r="E44" s="376" t="str">
        <f>report_47_flagged!D37</f>
        <v>McLane-PARFLUX-Mark78H-21 ; frame# 12419-02, controller# 12419-02 and motor# 12419-02 Cup set ABx21</v>
      </c>
      <c r="F44" s="376"/>
      <c r="G44" s="376"/>
      <c r="H44" s="376">
        <f>report_47_flagged!C37</f>
        <v>11</v>
      </c>
      <c r="I44" s="376">
        <f>report_47_flagged!F37</f>
        <v>1</v>
      </c>
      <c r="J44" s="139">
        <f>report_47_flagged!AC37</f>
        <v>44182</v>
      </c>
      <c r="K44" s="139">
        <f>report_47_flagged!AD37</f>
        <v>44192</v>
      </c>
      <c r="L44" s="139">
        <f>report_47_flagged!AE37</f>
        <v>44187</v>
      </c>
      <c r="M44" s="151">
        <f>report_47_flagged!AF37</f>
        <v>10</v>
      </c>
      <c r="N44" s="125">
        <f>report_47_flagged!H37</f>
        <v>252.00285714285715</v>
      </c>
      <c r="O44" s="125">
        <f t="shared" si="0"/>
        <v>0.15120171428571427</v>
      </c>
      <c r="P44" s="125">
        <f>report_47_flagged!J37</f>
        <v>1</v>
      </c>
      <c r="Q44" s="475">
        <f>report_47_flagged!BA37</f>
        <v>39.15</v>
      </c>
      <c r="R44" s="475">
        <f t="shared" si="1"/>
        <v>0.86129999999999995</v>
      </c>
      <c r="S44" s="476">
        <f>report_47_flagged!BB37</f>
        <v>1</v>
      </c>
      <c r="T44" s="475">
        <f>report_47_flagged!BC37</f>
        <v>8.44</v>
      </c>
      <c r="U44" s="475">
        <f t="shared" si="2"/>
        <v>0.24476000000000001</v>
      </c>
      <c r="V44" s="476">
        <f>report_47_flagged!BD37</f>
        <v>1</v>
      </c>
      <c r="W44" s="155">
        <f>(report_47_flagged!N37/100)*report_47_flagged!H37</f>
        <v>33.600368134852815</v>
      </c>
      <c r="X44" s="155">
        <f t="shared" si="3"/>
        <v>0.70589567523517449</v>
      </c>
      <c r="Y44" s="151">
        <f>report_47_flagged!AP37</f>
        <v>1</v>
      </c>
      <c r="Z44" s="155">
        <f>(report_47_flagged!P37/100)*report_47_flagged!H37</f>
        <v>2.3741936903561864</v>
      </c>
      <c r="AA44" s="155">
        <f t="shared" si="4"/>
        <v>9.0230605713321727E-2</v>
      </c>
      <c r="AB44" s="151">
        <f>report_47_flagged!AR37</f>
        <v>1</v>
      </c>
      <c r="AC44" s="155">
        <f>(report_47_flagged!R37/100)*report_47_flagged!H37</f>
        <v>17.504760071252107</v>
      </c>
      <c r="AD44" s="155">
        <f t="shared" si="5"/>
        <v>0.49024579968042853</v>
      </c>
      <c r="AE44" s="151">
        <f>report_47_flagged!AT37</f>
        <v>1</v>
      </c>
      <c r="AF44" s="155">
        <f>(report_47_flagged!L37/100)*report_47_flagged!H37</f>
        <v>16.095608063600711</v>
      </c>
      <c r="AG44" s="155">
        <f t="shared" si="6"/>
        <v>0.30596899991974963</v>
      </c>
      <c r="AH44" s="151">
        <f>report_47_flagged!AV37</f>
        <v>1</v>
      </c>
      <c r="AI44" s="155">
        <f>(report_47_flagged!T37/100)*report_47_flagged!H37</f>
        <v>27.269392976966092</v>
      </c>
      <c r="AJ44" s="155">
        <f t="shared" si="7"/>
        <v>1.3363004253970101</v>
      </c>
      <c r="AK44" s="151">
        <f>report_47_flagged!AX37</f>
        <v>1</v>
      </c>
    </row>
    <row r="45" spans="1:37" ht="15.75">
      <c r="A45" s="376">
        <f>report_47_flagged!A38</f>
        <v>2020</v>
      </c>
      <c r="B45" s="376" t="str">
        <f>LEFT(report_47_flagged!B38,2)</f>
        <v>47</v>
      </c>
      <c r="C45" s="376">
        <f>report_47_flagged!E38</f>
        <v>2000</v>
      </c>
      <c r="D45" s="151">
        <f>report_47_flagged!AM38</f>
        <v>1992.1</v>
      </c>
      <c r="E45" s="376" t="str">
        <f>report_47_flagged!D38</f>
        <v>McLane-PARFLUX-Mark78H-21 ; frame# 12419-02, controller# 12419-02 and motor# 12419-02 Cup set ABx21</v>
      </c>
      <c r="F45" s="376"/>
      <c r="G45" s="376"/>
      <c r="H45" s="376">
        <f>report_47_flagged!C38</f>
        <v>12</v>
      </c>
      <c r="I45" s="376">
        <f>report_47_flagged!F38</f>
        <v>1</v>
      </c>
      <c r="J45" s="139">
        <f>report_47_flagged!AC38</f>
        <v>44192</v>
      </c>
      <c r="K45" s="139">
        <f>report_47_flagged!AD38</f>
        <v>44202</v>
      </c>
      <c r="L45" s="139">
        <f>report_47_flagged!AE38</f>
        <v>44197</v>
      </c>
      <c r="M45" s="151">
        <f>report_47_flagged!AF38</f>
        <v>10</v>
      </c>
      <c r="N45" s="125">
        <f>report_47_flagged!H38</f>
        <v>144.93142857142857</v>
      </c>
      <c r="O45" s="125">
        <f t="shared" si="0"/>
        <v>8.6958857142857129E-2</v>
      </c>
      <c r="P45" s="125">
        <f>report_47_flagged!J38</f>
        <v>1</v>
      </c>
      <c r="Q45" s="475">
        <f>report_47_flagged!BA38</f>
        <v>40.01</v>
      </c>
      <c r="R45" s="475">
        <f t="shared" si="1"/>
        <v>0.88021999999999989</v>
      </c>
      <c r="S45" s="476">
        <f>report_47_flagged!BB38</f>
        <v>1</v>
      </c>
      <c r="T45" s="475">
        <f>report_47_flagged!BC38</f>
        <v>8.5350000000000001</v>
      </c>
      <c r="U45" s="475">
        <f t="shared" si="2"/>
        <v>0.24751500000000001</v>
      </c>
      <c r="V45" s="476">
        <f>report_47_flagged!BD38</f>
        <v>1</v>
      </c>
      <c r="W45" s="155">
        <f>(report_47_flagged!N38/100)*report_47_flagged!H38</f>
        <v>19.524978404944282</v>
      </c>
      <c r="X45" s="155">
        <f t="shared" si="3"/>
        <v>0.41019186932103885</v>
      </c>
      <c r="Y45" s="151">
        <f>report_47_flagged!AP38</f>
        <v>1</v>
      </c>
      <c r="Z45" s="155">
        <f>(report_47_flagged!P38/100)*report_47_flagged!H38</f>
        <v>1.199219005186217</v>
      </c>
      <c r="AA45" s="155">
        <f t="shared" si="4"/>
        <v>4.5576002354149096E-2</v>
      </c>
      <c r="AB45" s="151">
        <f>report_47_flagged!AR38</f>
        <v>1</v>
      </c>
      <c r="AC45" s="155">
        <f>(report_47_flagged!R38/100)*report_47_flagged!H38</f>
        <v>8.7512902522704454</v>
      </c>
      <c r="AD45" s="155">
        <f t="shared" si="5"/>
        <v>0.24509237890131114</v>
      </c>
      <c r="AE45" s="151">
        <f>report_47_flagged!AT38</f>
        <v>1</v>
      </c>
      <c r="AF45" s="155">
        <f>(report_47_flagged!L38/100)*report_47_flagged!H38</f>
        <v>10.773688152673836</v>
      </c>
      <c r="AG45" s="155">
        <f t="shared" si="6"/>
        <v>0.20480211598687717</v>
      </c>
      <c r="AH45" s="151">
        <f>report_47_flagged!AV38</f>
        <v>1</v>
      </c>
      <c r="AI45" s="155">
        <f>(report_47_flagged!T38/100)*report_47_flagged!H38</f>
        <v>12.528226369068063</v>
      </c>
      <c r="AJ45" s="155">
        <f t="shared" si="7"/>
        <v>0.61392911241540582</v>
      </c>
      <c r="AK45" s="151">
        <f>report_47_flagged!AX38</f>
        <v>1</v>
      </c>
    </row>
    <row r="46" spans="1:37" ht="15.75">
      <c r="A46" s="376">
        <f>report_47_flagged!A39</f>
        <v>2020</v>
      </c>
      <c r="B46" s="376" t="str">
        <f>LEFT(report_47_flagged!B39,2)</f>
        <v>47</v>
      </c>
      <c r="C46" s="376">
        <f>report_47_flagged!E39</f>
        <v>2000</v>
      </c>
      <c r="D46" s="151">
        <f>report_47_flagged!AM39</f>
        <v>1992.1</v>
      </c>
      <c r="E46" s="376" t="str">
        <f>report_47_flagged!D39</f>
        <v>McLane-PARFLUX-Mark78H-21 ; frame# 12419-02, controller# 12419-02 and motor# 12419-02 Cup set ABx21</v>
      </c>
      <c r="F46" s="376"/>
      <c r="G46" s="376"/>
      <c r="H46" s="376">
        <f>report_47_flagged!C39</f>
        <v>13</v>
      </c>
      <c r="I46" s="376">
        <f>report_47_flagged!F39</f>
        <v>1</v>
      </c>
      <c r="J46" s="139">
        <f>report_47_flagged!AC39</f>
        <v>44202</v>
      </c>
      <c r="K46" s="139">
        <f>report_47_flagged!AD39</f>
        <v>44212</v>
      </c>
      <c r="L46" s="139">
        <f>report_47_flagged!AE39</f>
        <v>44207</v>
      </c>
      <c r="M46" s="151">
        <f>report_47_flagged!AF39</f>
        <v>10</v>
      </c>
      <c r="N46" s="125">
        <f>report_47_flagged!H39</f>
        <v>135.49714285714285</v>
      </c>
      <c r="O46" s="125">
        <f t="shared" si="0"/>
        <v>8.1298285714285698E-2</v>
      </c>
      <c r="P46" s="125">
        <f>report_47_flagged!J39</f>
        <v>1</v>
      </c>
      <c r="Q46" s="475">
        <f>report_47_flagged!BA39</f>
        <v>39.93</v>
      </c>
      <c r="R46" s="475">
        <f t="shared" si="1"/>
        <v>0.87845999999999991</v>
      </c>
      <c r="S46" s="476">
        <f>report_47_flagged!BB39</f>
        <v>1</v>
      </c>
      <c r="T46" s="475">
        <f>report_47_flagged!BC39</f>
        <v>8.57</v>
      </c>
      <c r="U46" s="475">
        <f t="shared" si="2"/>
        <v>0.24853000000000003</v>
      </c>
      <c r="V46" s="476">
        <f>report_47_flagged!BD39</f>
        <v>1</v>
      </c>
      <c r="W46" s="155">
        <f>(report_47_flagged!N39/100)*report_47_flagged!H39</f>
        <v>17.621353187779018</v>
      </c>
      <c r="X46" s="155">
        <f t="shared" si="3"/>
        <v>0.37019942630159081</v>
      </c>
      <c r="Y46" s="151">
        <f>report_47_flagged!AP39</f>
        <v>1</v>
      </c>
      <c r="Z46" s="155">
        <f>(report_47_flagged!P39/100)*report_47_flagged!H39</f>
        <v>1.1881929233551025</v>
      </c>
      <c r="AA46" s="155">
        <f t="shared" si="4"/>
        <v>4.515695901901292E-2</v>
      </c>
      <c r="AB46" s="151">
        <f>report_47_flagged!AR39</f>
        <v>1</v>
      </c>
      <c r="AC46" s="155">
        <f>(report_47_flagged!R39/100)*report_47_flagged!H39</f>
        <v>8.171771001597282</v>
      </c>
      <c r="AD46" s="155">
        <f t="shared" si="5"/>
        <v>0.22886211482913721</v>
      </c>
      <c r="AE46" s="151">
        <f>report_47_flagged!AT39</f>
        <v>1</v>
      </c>
      <c r="AF46" s="155">
        <f>(report_47_flagged!L39/100)*report_47_flagged!H39</f>
        <v>9.4495821861817326</v>
      </c>
      <c r="AG46" s="155">
        <f t="shared" si="6"/>
        <v>0.17963156158753438</v>
      </c>
      <c r="AH46" s="151">
        <f>report_47_flagged!AV39</f>
        <v>1</v>
      </c>
      <c r="AI46" s="155">
        <f>(report_47_flagged!T39/100)*report_47_flagged!H39</f>
        <v>13.038093019110464</v>
      </c>
      <c r="AJ46" s="155">
        <f t="shared" si="7"/>
        <v>0.638914451176812</v>
      </c>
      <c r="AK46" s="151">
        <f>report_47_flagged!AX39</f>
        <v>1</v>
      </c>
    </row>
    <row r="47" spans="1:37" ht="15.75">
      <c r="A47" s="376">
        <f>report_47_flagged!A40</f>
        <v>2020</v>
      </c>
      <c r="B47" s="376" t="str">
        <f>LEFT(report_47_flagged!B40,2)</f>
        <v>47</v>
      </c>
      <c r="C47" s="376">
        <f>report_47_flagged!E40</f>
        <v>2000</v>
      </c>
      <c r="D47" s="151">
        <f>report_47_flagged!AM40</f>
        <v>1992.1</v>
      </c>
      <c r="E47" s="376" t="str">
        <f>report_47_flagged!D40</f>
        <v>McLane-PARFLUX-Mark78H-21 ; frame# 12419-02, controller# 12419-02 and motor# 12419-02 Cup set ABx21</v>
      </c>
      <c r="F47" s="376"/>
      <c r="G47" s="376"/>
      <c r="H47" s="376">
        <f>report_47_flagged!C40</f>
        <v>14</v>
      </c>
      <c r="I47" s="376">
        <f>report_47_flagged!F40</f>
        <v>1</v>
      </c>
      <c r="J47" s="139">
        <f>report_47_flagged!AC40</f>
        <v>44212</v>
      </c>
      <c r="K47" s="139">
        <f>report_47_flagged!AD40</f>
        <v>44222</v>
      </c>
      <c r="L47" s="139">
        <f>report_47_flagged!AE40</f>
        <v>44217</v>
      </c>
      <c r="M47" s="151">
        <f>report_47_flagged!AF40</f>
        <v>10</v>
      </c>
      <c r="N47" s="125">
        <f>report_47_flagged!H40</f>
        <v>120.33599999999998</v>
      </c>
      <c r="O47" s="125">
        <f t="shared" si="0"/>
        <v>7.2201599999999991E-2</v>
      </c>
      <c r="P47" s="125">
        <f>report_47_flagged!J40</f>
        <v>1</v>
      </c>
      <c r="Q47" s="475">
        <f>report_47_flagged!BA40</f>
        <v>40.159999999999997</v>
      </c>
      <c r="R47" s="475">
        <f t="shared" si="1"/>
        <v>0.88351999999999986</v>
      </c>
      <c r="S47" s="476">
        <f>report_47_flagged!BB40</f>
        <v>1</v>
      </c>
      <c r="T47" s="475">
        <f>report_47_flagged!BC40</f>
        <v>8.59</v>
      </c>
      <c r="U47" s="475">
        <f t="shared" si="2"/>
        <v>0.24911</v>
      </c>
      <c r="V47" s="476">
        <f>report_47_flagged!BD40</f>
        <v>1</v>
      </c>
      <c r="W47" s="155">
        <f>(report_47_flagged!N40/100)*report_47_flagged!H40</f>
        <v>15.71725809356689</v>
      </c>
      <c r="X47" s="155">
        <f t="shared" si="3"/>
        <v>0.3301971118374627</v>
      </c>
      <c r="Y47" s="151">
        <f>report_47_flagged!AP40</f>
        <v>1</v>
      </c>
      <c r="Z47" s="155">
        <f>(report_47_flagged!P40/100)*report_47_flagged!H40</f>
        <v>0.92786733993530257</v>
      </c>
      <c r="AA47" s="155">
        <f t="shared" si="4"/>
        <v>3.5263353804722911E-2</v>
      </c>
      <c r="AB47" s="151">
        <f>report_47_flagged!AR40</f>
        <v>1</v>
      </c>
      <c r="AC47" s="155">
        <f>(report_47_flagged!R40/100)*report_47_flagged!H40</f>
        <v>6.5164192446674187</v>
      </c>
      <c r="AD47" s="155">
        <f t="shared" si="5"/>
        <v>0.18250162530941796</v>
      </c>
      <c r="AE47" s="151">
        <f>report_47_flagged!AT40</f>
        <v>1</v>
      </c>
      <c r="AF47" s="155">
        <f>(report_47_flagged!L40/100)*report_47_flagged!H40</f>
        <v>9.2008388488994743</v>
      </c>
      <c r="AG47" s="155">
        <f t="shared" si="6"/>
        <v>0.17490308225054885</v>
      </c>
      <c r="AH47" s="151">
        <f>report_47_flagged!AV40</f>
        <v>1</v>
      </c>
      <c r="AI47" s="155">
        <f>(report_47_flagged!T40/100)*report_47_flagged!H40</f>
        <v>9.0918368462597972</v>
      </c>
      <c r="AJ47" s="155">
        <f t="shared" si="7"/>
        <v>0.44553340279923187</v>
      </c>
      <c r="AK47" s="151">
        <f>report_47_flagged!AX40</f>
        <v>1</v>
      </c>
    </row>
    <row r="48" spans="1:37" ht="15.75">
      <c r="A48" s="376">
        <f>report_47_flagged!A41</f>
        <v>2020</v>
      </c>
      <c r="B48" s="376" t="str">
        <f>LEFT(report_47_flagged!B41,2)</f>
        <v>47</v>
      </c>
      <c r="C48" s="376">
        <f>report_47_flagged!E41</f>
        <v>2000</v>
      </c>
      <c r="D48" s="151">
        <f>report_47_flagged!AM41</f>
        <v>1992.1</v>
      </c>
      <c r="E48" s="376" t="str">
        <f>report_47_flagged!D41</f>
        <v>McLane-PARFLUX-Mark78H-21 ; frame# 12419-02, controller# 12419-02 and motor# 12419-02 Cup set ABx21</v>
      </c>
      <c r="F48" s="376"/>
      <c r="G48" s="376"/>
      <c r="H48" s="376">
        <f>report_47_flagged!C41</f>
        <v>15</v>
      </c>
      <c r="I48" s="376">
        <f>report_47_flagged!F41</f>
        <v>1</v>
      </c>
      <c r="J48" s="139">
        <f>report_47_flagged!AC41</f>
        <v>44222</v>
      </c>
      <c r="K48" s="139">
        <f>report_47_flagged!AD41</f>
        <v>44232</v>
      </c>
      <c r="L48" s="139">
        <f>report_47_flagged!AE41</f>
        <v>44227</v>
      </c>
      <c r="M48" s="151">
        <f>report_47_flagged!AF41</f>
        <v>10</v>
      </c>
      <c r="N48" s="125">
        <f>report_47_flagged!H41</f>
        <v>80.828571428571422</v>
      </c>
      <c r="O48" s="125">
        <f t="shared" si="0"/>
        <v>4.849714285714285E-2</v>
      </c>
      <c r="P48" s="125">
        <f>report_47_flagged!J41</f>
        <v>1</v>
      </c>
      <c r="Q48" s="475">
        <f>report_47_flagged!BA41</f>
        <v>38.700000000000003</v>
      </c>
      <c r="R48" s="475">
        <f t="shared" si="1"/>
        <v>0.85140000000000005</v>
      </c>
      <c r="S48" s="476">
        <f>report_47_flagged!BB41</f>
        <v>1</v>
      </c>
      <c r="T48" s="475">
        <f>report_47_flagged!BC41</f>
        <v>8.5</v>
      </c>
      <c r="U48" s="475">
        <f t="shared" si="2"/>
        <v>0.24650000000000002</v>
      </c>
      <c r="V48" s="476">
        <f>report_47_flagged!BD41</f>
        <v>1</v>
      </c>
      <c r="W48" s="155">
        <f>(report_47_flagged!N41/100)*report_47_flagged!H41</f>
        <v>10.730078883034841</v>
      </c>
      <c r="X48" s="155">
        <f t="shared" si="3"/>
        <v>0.22542360988628332</v>
      </c>
      <c r="Y48" s="151">
        <f>report_47_flagged!AP41</f>
        <v>1</v>
      </c>
      <c r="Z48" s="155">
        <f>(report_47_flagged!P41/100)*report_47_flagged!H41</f>
        <v>0.55868912366458345</v>
      </c>
      <c r="AA48" s="155">
        <f t="shared" si="4"/>
        <v>2.1232832956496243E-2</v>
      </c>
      <c r="AB48" s="151">
        <f>report_47_flagged!AR41</f>
        <v>1</v>
      </c>
      <c r="AC48" s="155">
        <f>(report_47_flagged!R41/100)*report_47_flagged!H41</f>
        <v>3.674577311782758</v>
      </c>
      <c r="AD48" s="155">
        <f t="shared" si="5"/>
        <v>0.10291178430151662</v>
      </c>
      <c r="AE48" s="151">
        <f>report_47_flagged!AT41</f>
        <v>1</v>
      </c>
      <c r="AF48" s="155">
        <f>(report_47_flagged!L41/100)*report_47_flagged!H41</f>
        <v>7.0555015712520834</v>
      </c>
      <c r="AG48" s="155">
        <f t="shared" si="6"/>
        <v>0.13412135479181703</v>
      </c>
      <c r="AH48" s="151">
        <f>report_47_flagged!AV41</f>
        <v>1</v>
      </c>
      <c r="AI48" s="155">
        <f>(report_47_flagged!T41/100)*report_47_flagged!H41</f>
        <v>4.1386465835966373</v>
      </c>
      <c r="AJ48" s="155">
        <f t="shared" si="7"/>
        <v>0.20280888521792731</v>
      </c>
      <c r="AK48" s="151">
        <f>report_47_flagged!AX41</f>
        <v>1</v>
      </c>
    </row>
    <row r="49" spans="1:37" ht="15.75">
      <c r="A49" s="376">
        <f>report_47_flagged!A42</f>
        <v>2020</v>
      </c>
      <c r="B49" s="376" t="str">
        <f>LEFT(report_47_flagged!B42,2)</f>
        <v>47</v>
      </c>
      <c r="C49" s="376">
        <f>report_47_flagged!E42</f>
        <v>2000</v>
      </c>
      <c r="D49" s="151">
        <f>report_47_flagged!AM42</f>
        <v>1992.1</v>
      </c>
      <c r="E49" s="376" t="str">
        <f>report_47_flagged!D42</f>
        <v>McLane-PARFLUX-Mark78H-21 ; frame# 12419-02, controller# 12419-02 and motor# 12419-02 Cup set ABx21</v>
      </c>
      <c r="F49" s="376"/>
      <c r="G49" s="376"/>
      <c r="H49" s="376">
        <f>report_47_flagged!C42</f>
        <v>16</v>
      </c>
      <c r="I49" s="376">
        <f>report_47_flagged!F42</f>
        <v>1</v>
      </c>
      <c r="J49" s="139">
        <f>report_47_flagged!AC42</f>
        <v>44232</v>
      </c>
      <c r="K49" s="139">
        <f>report_47_flagged!AD42</f>
        <v>44242</v>
      </c>
      <c r="L49" s="139">
        <f>report_47_flagged!AE42</f>
        <v>44237</v>
      </c>
      <c r="M49" s="151">
        <f>report_47_flagged!AF42</f>
        <v>10</v>
      </c>
      <c r="N49" s="125">
        <f>report_47_flagged!H42</f>
        <v>69.342857142857142</v>
      </c>
      <c r="O49" s="125">
        <f t="shared" si="0"/>
        <v>4.1605714285714281E-2</v>
      </c>
      <c r="P49" s="125">
        <f>report_47_flagged!J42</f>
        <v>1</v>
      </c>
      <c r="Q49" s="475">
        <f>report_47_flagged!BA42</f>
        <v>39.81</v>
      </c>
      <c r="R49" s="475">
        <f t="shared" si="1"/>
        <v>0.87582000000000004</v>
      </c>
      <c r="S49" s="476">
        <f>report_47_flagged!BB42</f>
        <v>1</v>
      </c>
      <c r="T49" s="475">
        <f>report_47_flagged!BC42</f>
        <v>8.6</v>
      </c>
      <c r="U49" s="475">
        <f t="shared" si="2"/>
        <v>0.24940000000000001</v>
      </c>
      <c r="V49" s="476">
        <f>report_47_flagged!BD42</f>
        <v>1</v>
      </c>
      <c r="W49" s="155">
        <f>(report_47_flagged!N42/100)*report_47_flagged!H42</f>
        <v>9.2371971179417205</v>
      </c>
      <c r="X49" s="155">
        <f t="shared" si="3"/>
        <v>0.19406029930030233</v>
      </c>
      <c r="Y49" s="151">
        <f>report_47_flagged!AP42</f>
        <v>1</v>
      </c>
      <c r="Z49" s="155">
        <f>(report_47_flagged!P42/100)*report_47_flagged!H42</f>
        <v>0.49390606886999949</v>
      </c>
      <c r="AA49" s="155">
        <f t="shared" si="4"/>
        <v>1.8770770026324077E-2</v>
      </c>
      <c r="AB49" s="151">
        <f>report_47_flagged!AR42</f>
        <v>1</v>
      </c>
      <c r="AC49" s="155">
        <f>(report_47_flagged!R42/100)*report_47_flagged!H42</f>
        <v>3.2019817111396871</v>
      </c>
      <c r="AD49" s="155">
        <f t="shared" si="5"/>
        <v>8.967606971761817E-2</v>
      </c>
      <c r="AE49" s="151">
        <f>report_47_flagged!AT42</f>
        <v>1</v>
      </c>
      <c r="AF49" s="155">
        <f>(report_47_flagged!L42/100)*report_47_flagged!H42</f>
        <v>6.0352154068020329</v>
      </c>
      <c r="AG49" s="155">
        <f t="shared" si="6"/>
        <v>0.11472625420691232</v>
      </c>
      <c r="AH49" s="151">
        <f>report_47_flagged!AV42</f>
        <v>1</v>
      </c>
      <c r="AI49" s="155">
        <f>(report_47_flagged!T42/100)*report_47_flagged!H42</f>
        <v>3.2470902632766609</v>
      </c>
      <c r="AJ49" s="155">
        <f t="shared" si="7"/>
        <v>0.15911935054015439</v>
      </c>
      <c r="AK49" s="151">
        <f>report_47_flagged!AX42</f>
        <v>1</v>
      </c>
    </row>
    <row r="50" spans="1:37" ht="15.75">
      <c r="A50" s="376">
        <f>report_47_flagged!A43</f>
        <v>2020</v>
      </c>
      <c r="B50" s="376" t="str">
        <f>LEFT(report_47_flagged!B43,2)</f>
        <v>47</v>
      </c>
      <c r="C50" s="376">
        <f>report_47_flagged!E43</f>
        <v>2000</v>
      </c>
      <c r="D50" s="151">
        <f>report_47_flagged!AM43</f>
        <v>1992.1</v>
      </c>
      <c r="E50" s="376" t="str">
        <f>report_47_flagged!D43</f>
        <v>McLane-PARFLUX-Mark78H-21 ; frame# 12419-02, controller# 12419-02 and motor# 12419-02 Cup set ABx21</v>
      </c>
      <c r="F50" s="376"/>
      <c r="G50" s="376"/>
      <c r="H50" s="376">
        <f>report_47_flagged!C43</f>
        <v>17</v>
      </c>
      <c r="I50" s="376">
        <f>report_47_flagged!F43</f>
        <v>1</v>
      </c>
      <c r="J50" s="139">
        <f>report_47_flagged!AC43</f>
        <v>44242</v>
      </c>
      <c r="K50" s="139">
        <f>report_47_flagged!AD43</f>
        <v>44252</v>
      </c>
      <c r="L50" s="139">
        <f>report_47_flagged!AE43</f>
        <v>44247</v>
      </c>
      <c r="M50" s="151">
        <f>report_47_flagged!AF43</f>
        <v>10</v>
      </c>
      <c r="N50" s="125">
        <f>report_47_flagged!H43</f>
        <v>49.617142857142866</v>
      </c>
      <c r="O50" s="125">
        <f t="shared" si="0"/>
        <v>2.9770285714285718E-2</v>
      </c>
      <c r="P50" s="125">
        <f>report_47_flagged!J43</f>
        <v>1</v>
      </c>
      <c r="Q50" s="475">
        <f>report_47_flagged!BA43</f>
        <v>39.99</v>
      </c>
      <c r="R50" s="475">
        <f t="shared" si="1"/>
        <v>0.87978000000000001</v>
      </c>
      <c r="S50" s="476">
        <f>report_47_flagged!BB43</f>
        <v>1</v>
      </c>
      <c r="T50" s="475">
        <f>report_47_flagged!BC43</f>
        <v>8.58</v>
      </c>
      <c r="U50" s="475">
        <f t="shared" si="2"/>
        <v>0.24882000000000001</v>
      </c>
      <c r="V50" s="476">
        <f>report_47_flagged!BD43</f>
        <v>1</v>
      </c>
      <c r="W50" s="155">
        <f>(report_47_flagged!N43/100)*report_47_flagged!H43</f>
        <v>6.6611611446380623</v>
      </c>
      <c r="X50" s="155">
        <f t="shared" si="3"/>
        <v>0.13994146805692997</v>
      </c>
      <c r="Y50" s="151">
        <f>report_47_flagged!AP43</f>
        <v>1</v>
      </c>
      <c r="Z50" s="155">
        <f>(report_47_flagged!P43/100)*report_47_flagged!H43</f>
        <v>0.36138373108931954</v>
      </c>
      <c r="AA50" s="155">
        <f t="shared" si="4"/>
        <v>1.3734293492388782E-2</v>
      </c>
      <c r="AB50" s="151">
        <f>report_47_flagged!AR43</f>
        <v>1</v>
      </c>
      <c r="AC50" s="155">
        <f>(report_47_flagged!R43/100)*report_47_flagged!H43</f>
        <v>2.4306948536940327</v>
      </c>
      <c r="AD50" s="155">
        <f t="shared" si="5"/>
        <v>6.8075080005543659E-2</v>
      </c>
      <c r="AE50" s="151">
        <f>report_47_flagged!AT43</f>
        <v>1</v>
      </c>
      <c r="AF50" s="155">
        <f>(report_47_flagged!L43/100)*report_47_flagged!H43</f>
        <v>4.2304662909440305</v>
      </c>
      <c r="AG50" s="155">
        <f t="shared" si="6"/>
        <v>8.0418927642848692E-2</v>
      </c>
      <c r="AH50" s="151">
        <f>report_47_flagged!AV43</f>
        <v>1</v>
      </c>
      <c r="AI50" s="155">
        <f>(report_47_flagged!T43/100)*report_47_flagged!H43</f>
        <v>2.3791548133732268</v>
      </c>
      <c r="AJ50" s="155">
        <f t="shared" si="7"/>
        <v>0.11658732528008411</v>
      </c>
      <c r="AK50" s="151">
        <f>report_47_flagged!AX43</f>
        <v>1</v>
      </c>
    </row>
    <row r="51" spans="1:37" ht="15.75">
      <c r="A51" s="376">
        <f>report_47_flagged!A44</f>
        <v>2020</v>
      </c>
      <c r="B51" s="376" t="str">
        <f>LEFT(report_47_flagged!B44,2)</f>
        <v>47</v>
      </c>
      <c r="C51" s="376">
        <f>report_47_flagged!E44</f>
        <v>2000</v>
      </c>
      <c r="D51" s="151">
        <f>report_47_flagged!AM44</f>
        <v>1992.1</v>
      </c>
      <c r="E51" s="376" t="str">
        <f>report_47_flagged!D44</f>
        <v>McLane-PARFLUX-Mark78H-21 ; frame# 12419-02, controller# 12419-02 and motor# 12419-02 Cup set ABx21</v>
      </c>
      <c r="F51" s="376"/>
      <c r="G51" s="376"/>
      <c r="H51" s="376">
        <f>report_47_flagged!C44</f>
        <v>18</v>
      </c>
      <c r="I51" s="376">
        <f>report_47_flagged!F44</f>
        <v>1</v>
      </c>
      <c r="J51" s="139">
        <f>report_47_flagged!AC44</f>
        <v>44252</v>
      </c>
      <c r="K51" s="139">
        <f>report_47_flagged!AD44</f>
        <v>44262</v>
      </c>
      <c r="L51" s="139">
        <f>report_47_flagged!AE44</f>
        <v>44257</v>
      </c>
      <c r="M51" s="151">
        <f>report_47_flagged!AF44</f>
        <v>10</v>
      </c>
      <c r="N51" s="125">
        <f>report_47_flagged!H44</f>
        <v>42.637142857142855</v>
      </c>
      <c r="O51" s="125">
        <f t="shared" si="0"/>
        <v>2.558228571428571E-2</v>
      </c>
      <c r="P51" s="125">
        <f>report_47_flagged!J44</f>
        <v>1</v>
      </c>
      <c r="Q51" s="475">
        <f>report_47_flagged!BA44</f>
        <v>40.450000000000003</v>
      </c>
      <c r="R51" s="475">
        <f t="shared" si="1"/>
        <v>0.88990000000000002</v>
      </c>
      <c r="S51" s="476">
        <f>report_47_flagged!BB44</f>
        <v>1</v>
      </c>
      <c r="T51" s="475">
        <f>report_47_flagged!BC44</f>
        <v>8.56</v>
      </c>
      <c r="U51" s="475">
        <f t="shared" si="2"/>
        <v>0.24824000000000002</v>
      </c>
      <c r="V51" s="476">
        <f>report_47_flagged!BD44</f>
        <v>1</v>
      </c>
      <c r="W51" s="155">
        <f>(report_47_flagged!N44/100)*report_47_flagged!H44</f>
        <v>6.0015835820606771</v>
      </c>
      <c r="X51" s="155">
        <f t="shared" si="3"/>
        <v>0.12608468687414925</v>
      </c>
      <c r="Y51" s="151">
        <f>report_47_flagged!AP44</f>
        <v>1</v>
      </c>
      <c r="Z51" s="155">
        <f>(report_47_flagged!P44/100)*report_47_flagged!H44</f>
        <v>0.32055490967205591</v>
      </c>
      <c r="AA51" s="155">
        <f t="shared" si="4"/>
        <v>1.2182604890904862E-2</v>
      </c>
      <c r="AB51" s="151">
        <f>report_47_flagged!AR44</f>
        <v>1</v>
      </c>
      <c r="AC51" s="155">
        <f>(report_47_flagged!R44/100)*report_47_flagged!H44</f>
        <v>2.2614692458474397</v>
      </c>
      <c r="AD51" s="155">
        <f t="shared" si="5"/>
        <v>6.3335675231786862E-2</v>
      </c>
      <c r="AE51" s="151">
        <f>report_47_flagged!AT44</f>
        <v>1</v>
      </c>
      <c r="AF51" s="155">
        <f>(report_47_flagged!L44/100)*report_47_flagged!H44</f>
        <v>3.7401143362132379</v>
      </c>
      <c r="AG51" s="155">
        <f t="shared" si="6"/>
        <v>7.1097596220958223E-2</v>
      </c>
      <c r="AH51" s="151">
        <f>report_47_flagged!AV44</f>
        <v>1</v>
      </c>
      <c r="AI51" s="155">
        <f>(report_47_flagged!T44/100)*report_47_flagged!H44</f>
        <v>1.7630733243940486</v>
      </c>
      <c r="AJ51" s="155">
        <f t="shared" si="7"/>
        <v>8.6397069248440928E-2</v>
      </c>
      <c r="AK51" s="151">
        <f>report_47_flagged!AX44</f>
        <v>1</v>
      </c>
    </row>
    <row r="52" spans="1:37" ht="15.75">
      <c r="A52" s="376">
        <f>report_47_flagged!A45</f>
        <v>2020</v>
      </c>
      <c r="B52" s="376" t="str">
        <f>LEFT(report_47_flagged!B45,2)</f>
        <v>47</v>
      </c>
      <c r="C52" s="376">
        <f>report_47_flagged!E45</f>
        <v>2000</v>
      </c>
      <c r="D52" s="151">
        <f>report_47_flagged!AM45</f>
        <v>1992.1</v>
      </c>
      <c r="E52" s="376" t="str">
        <f>report_47_flagged!D45</f>
        <v>McLane-PARFLUX-Mark78H-21 ; frame# 12419-02, controller# 12419-02 and motor# 12419-02 Cup set ABx21</v>
      </c>
      <c r="F52" s="376"/>
      <c r="G52" s="376"/>
      <c r="H52" s="376">
        <f>report_47_flagged!C45</f>
        <v>19</v>
      </c>
      <c r="I52" s="376">
        <f>report_47_flagged!F45</f>
        <v>1</v>
      </c>
      <c r="J52" s="139">
        <f>report_47_flagged!AC45</f>
        <v>44262</v>
      </c>
      <c r="K52" s="139">
        <f>report_47_flagged!AD45</f>
        <v>44272</v>
      </c>
      <c r="L52" s="139">
        <f>report_47_flagged!AE45</f>
        <v>44267</v>
      </c>
      <c r="M52" s="151">
        <f>report_47_flagged!AF45</f>
        <v>10</v>
      </c>
      <c r="N52" s="125">
        <f>report_47_flagged!H45</f>
        <v>39.688571428571429</v>
      </c>
      <c r="O52" s="125">
        <f t="shared" si="0"/>
        <v>2.3813142857142856E-2</v>
      </c>
      <c r="P52" s="125">
        <f>report_47_flagged!J45</f>
        <v>1</v>
      </c>
      <c r="Q52" s="475">
        <f>report_47_flagged!BA45</f>
        <v>40.35</v>
      </c>
      <c r="R52" s="475">
        <f t="shared" si="1"/>
        <v>0.88769999999999993</v>
      </c>
      <c r="S52" s="476">
        <f>report_47_flagged!BB45</f>
        <v>1</v>
      </c>
      <c r="T52" s="475">
        <f>report_47_flagged!BC45</f>
        <v>8.64</v>
      </c>
      <c r="U52" s="475">
        <f t="shared" si="2"/>
        <v>0.25056</v>
      </c>
      <c r="V52" s="476">
        <f>report_47_flagged!BD45</f>
        <v>1</v>
      </c>
      <c r="W52" s="155">
        <f>(report_47_flagged!N45/100)*report_47_flagged!H45</f>
        <v>5.6130175009591241</v>
      </c>
      <c r="X52" s="155">
        <f t="shared" si="3"/>
        <v>0.11792146928403732</v>
      </c>
      <c r="Y52" s="151">
        <f>report_47_flagged!AP45</f>
        <v>1</v>
      </c>
      <c r="Z52" s="155">
        <f>(report_47_flagged!P45/100)*report_47_flagged!H45</f>
        <v>0.30171811225754874</v>
      </c>
      <c r="AA52" s="155">
        <f t="shared" si="4"/>
        <v>1.146671736777901E-2</v>
      </c>
      <c r="AB52" s="151">
        <f>report_47_flagged!AR45</f>
        <v>1</v>
      </c>
      <c r="AC52" s="155">
        <f>(report_47_flagged!R45/100)*report_47_flagged!H45</f>
        <v>2.2412538855308641</v>
      </c>
      <c r="AD52" s="155">
        <f t="shared" si="5"/>
        <v>6.2769515201949969E-2</v>
      </c>
      <c r="AE52" s="151">
        <f>report_47_flagged!AT45</f>
        <v>1</v>
      </c>
      <c r="AF52" s="155">
        <f>(report_47_flagged!L45/100)*report_47_flagged!H45</f>
        <v>3.3717636154282595</v>
      </c>
      <c r="AG52" s="155">
        <f t="shared" si="6"/>
        <v>6.4095443757195628E-2</v>
      </c>
      <c r="AH52" s="151">
        <f>report_47_flagged!AV45</f>
        <v>1</v>
      </c>
      <c r="AI52" s="155">
        <f>(report_47_flagged!T45/100)*report_47_flagged!H45</f>
        <v>1.7864231119601404</v>
      </c>
      <c r="AJ52" s="155">
        <f t="shared" si="7"/>
        <v>8.7541294610694279E-2</v>
      </c>
      <c r="AK52" s="151">
        <f>report_47_flagged!AX45</f>
        <v>1</v>
      </c>
    </row>
    <row r="53" spans="1:37" ht="15.75">
      <c r="A53" s="376">
        <f>report_47_flagged!A46</f>
        <v>2020</v>
      </c>
      <c r="B53" s="376" t="str">
        <f>LEFT(report_47_flagged!B46,2)</f>
        <v>47</v>
      </c>
      <c r="C53" s="376">
        <f>report_47_flagged!E46</f>
        <v>2000</v>
      </c>
      <c r="D53" s="151">
        <f>report_47_flagged!AM46</f>
        <v>1992.1</v>
      </c>
      <c r="E53" s="376" t="str">
        <f>report_47_flagged!D46</f>
        <v>McLane-PARFLUX-Mark78H-21 ; frame# 12419-02, controller# 12419-02 and motor# 12419-02 Cup set ABx21</v>
      </c>
      <c r="F53" s="376"/>
      <c r="G53" s="376"/>
      <c r="H53" s="376">
        <f>report_47_flagged!C46</f>
        <v>20</v>
      </c>
      <c r="I53" s="376">
        <f>report_47_flagged!F46</f>
        <v>1</v>
      </c>
      <c r="J53" s="139">
        <f>report_47_flagged!AC46</f>
        <v>44272</v>
      </c>
      <c r="K53" s="139">
        <f>report_47_flagged!AD46</f>
        <v>44282</v>
      </c>
      <c r="L53" s="139">
        <f>report_47_flagged!AE46</f>
        <v>44277</v>
      </c>
      <c r="M53" s="151">
        <f>report_47_flagged!AF46</f>
        <v>10</v>
      </c>
      <c r="N53" s="125">
        <f>report_47_flagged!H46</f>
        <v>41.611428571428576</v>
      </c>
      <c r="O53" s="125">
        <f t="shared" si="0"/>
        <v>2.4966857142857145E-2</v>
      </c>
      <c r="P53" s="125">
        <f>report_47_flagged!J46</f>
        <v>1</v>
      </c>
      <c r="Q53" s="475">
        <f>report_47_flagged!BA46</f>
        <v>40.17</v>
      </c>
      <c r="R53" s="475">
        <f t="shared" si="1"/>
        <v>0.88373999999999997</v>
      </c>
      <c r="S53" s="476">
        <f>report_47_flagged!BB46</f>
        <v>1</v>
      </c>
      <c r="T53" s="475">
        <f>report_47_flagged!BC46</f>
        <v>8.64</v>
      </c>
      <c r="U53" s="475">
        <f t="shared" si="2"/>
        <v>0.25056</v>
      </c>
      <c r="V53" s="476">
        <f>report_47_flagged!BD46</f>
        <v>1</v>
      </c>
      <c r="W53" s="155">
        <f>(report_47_flagged!N46/100)*report_47_flagged!H46</f>
        <v>6.3893076786586231</v>
      </c>
      <c r="X53" s="155">
        <f t="shared" si="3"/>
        <v>0.13423021557414763</v>
      </c>
      <c r="Y53" s="151">
        <f>report_47_flagged!AP46</f>
        <v>1</v>
      </c>
      <c r="Z53" s="155">
        <f>(report_47_flagged!P46/100)*report_47_flagged!H46</f>
        <v>0.4562183865410942</v>
      </c>
      <c r="AA53" s="155">
        <f t="shared" si="4"/>
        <v>1.7338459588350414E-2</v>
      </c>
      <c r="AB53" s="151">
        <f>report_47_flagged!AR46</f>
        <v>1</v>
      </c>
      <c r="AC53" s="155">
        <f>(report_47_flagged!R46/100)*report_47_flagged!H46</f>
        <v>3.2046425811827821</v>
      </c>
      <c r="AD53" s="155">
        <f t="shared" si="5"/>
        <v>8.9750591182454764E-2</v>
      </c>
      <c r="AE53" s="151">
        <f>report_47_flagged!AT46</f>
        <v>1</v>
      </c>
      <c r="AF53" s="155">
        <f>(report_47_flagged!L46/100)*report_47_flagged!H46</f>
        <v>3.1846650974758401</v>
      </c>
      <c r="AG53" s="155">
        <f t="shared" si="6"/>
        <v>6.0538799845504691E-2</v>
      </c>
      <c r="AH53" s="151">
        <f>report_47_flagged!AV46</f>
        <v>1</v>
      </c>
      <c r="AI53" s="155">
        <f>(report_47_flagged!T46/100)*report_47_flagged!H46</f>
        <v>2.386529375066416</v>
      </c>
      <c r="AJ53" s="155">
        <f t="shared" si="7"/>
        <v>0.11694870589226164</v>
      </c>
      <c r="AK53" s="151">
        <f>report_47_flagged!AX46</f>
        <v>1</v>
      </c>
    </row>
    <row r="54" spans="1:37" ht="15.75">
      <c r="A54" s="376">
        <f>report_47_flagged!A47</f>
        <v>2020</v>
      </c>
      <c r="B54" s="376" t="str">
        <f>LEFT(report_47_flagged!B47,2)</f>
        <v>47</v>
      </c>
      <c r="C54" s="376">
        <f>report_47_flagged!E47</f>
        <v>2000</v>
      </c>
      <c r="D54" s="151">
        <f>report_47_flagged!AM47</f>
        <v>1992.1</v>
      </c>
      <c r="E54" s="376" t="str">
        <f>report_47_flagged!D47</f>
        <v>McLane-PARFLUX-Mark78H-21 ; frame# 12419-02, controller# 12419-02 and motor# 12419-02 Cup set ABx21</v>
      </c>
      <c r="F54" s="376"/>
      <c r="G54" s="376"/>
      <c r="H54" s="376">
        <f>report_47_flagged!C47</f>
        <v>21</v>
      </c>
      <c r="I54" s="376">
        <f>report_47_flagged!F47</f>
        <v>1</v>
      </c>
      <c r="J54" s="139">
        <f>report_47_flagged!AC47</f>
        <v>44282</v>
      </c>
      <c r="K54" s="139">
        <f>report_47_flagged!AD47</f>
        <v>44292</v>
      </c>
      <c r="L54" s="139">
        <f>report_47_flagged!AE47</f>
        <v>44287</v>
      </c>
      <c r="M54" s="151">
        <f>report_47_flagged!AF47</f>
        <v>10</v>
      </c>
      <c r="N54" s="125">
        <f>report_47_flagged!H47</f>
        <v>94.291428571428582</v>
      </c>
      <c r="O54" s="125">
        <f t="shared" si="0"/>
        <v>5.6574857142857142E-2</v>
      </c>
      <c r="P54" s="125">
        <f>report_47_flagged!J47</f>
        <v>1</v>
      </c>
      <c r="Q54" s="475">
        <f>report_47_flagged!BA47</f>
        <v>40.24</v>
      </c>
      <c r="R54" s="475">
        <f t="shared" si="1"/>
        <v>0.88527999999999996</v>
      </c>
      <c r="S54" s="476">
        <f>report_47_flagged!BB47</f>
        <v>1</v>
      </c>
      <c r="T54" s="475">
        <f>report_47_flagged!BC47</f>
        <v>8.56</v>
      </c>
      <c r="U54" s="475">
        <f t="shared" si="2"/>
        <v>0.24824000000000002</v>
      </c>
      <c r="V54" s="476">
        <f>report_47_flagged!BD47</f>
        <v>1</v>
      </c>
      <c r="W54" s="155">
        <f>(report_47_flagged!N47/100)*report_47_flagged!H47</f>
        <v>14.917627594920567</v>
      </c>
      <c r="X54" s="155">
        <f t="shared" si="3"/>
        <v>0.31339801878838713</v>
      </c>
      <c r="Y54" s="151">
        <f>report_47_flagged!AP47</f>
        <v>1</v>
      </c>
      <c r="Z54" s="155">
        <f>(report_47_flagged!P47/100)*report_47_flagged!H47</f>
        <v>1.1430113061155593</v>
      </c>
      <c r="AA54" s="155">
        <f t="shared" si="4"/>
        <v>4.3439843559060776E-2</v>
      </c>
      <c r="AB54" s="151">
        <f>report_47_flagged!AR47</f>
        <v>1</v>
      </c>
      <c r="AC54" s="155">
        <f>(report_47_flagged!R47/100)*report_47_flagged!H47</f>
        <v>8.0038131820469616</v>
      </c>
      <c r="AD54" s="155">
        <f t="shared" si="5"/>
        <v>0.22415821627680829</v>
      </c>
      <c r="AE54" s="151">
        <f>report_47_flagged!AT47</f>
        <v>1</v>
      </c>
      <c r="AF54" s="155">
        <f>(report_47_flagged!L47/100)*report_47_flagged!H47</f>
        <v>6.9138144128736059</v>
      </c>
      <c r="AG54" s="155">
        <f t="shared" si="6"/>
        <v>0.1314279568177093</v>
      </c>
      <c r="AH54" s="151">
        <f>report_47_flagged!AV47</f>
        <v>1</v>
      </c>
      <c r="AI54" s="155">
        <f>(report_47_flagged!T47/100)*report_47_flagged!H47</f>
        <v>5.9056115208054987</v>
      </c>
      <c r="AJ54" s="155">
        <f t="shared" si="7"/>
        <v>0.28939665778947876</v>
      </c>
      <c r="AK54" s="151">
        <f>report_47_flagged!AX47</f>
        <v>1</v>
      </c>
    </row>
    <row r="55" spans="1:37" ht="15.75">
      <c r="A55" s="376">
        <f>report_47_flagged!A48</f>
        <v>2020</v>
      </c>
      <c r="B55" s="376" t="str">
        <f>LEFT(report_47_flagged!B48,2)</f>
        <v>47</v>
      </c>
      <c r="C55" s="376">
        <f>report_47_flagged!E48</f>
        <v>3800</v>
      </c>
      <c r="D55" s="151">
        <f>report_47_flagged!AM48</f>
        <v>3854.6</v>
      </c>
      <c r="E55" s="376" t="str">
        <f>report_47_flagged!D48</f>
        <v>McLane-PARFLUX-Mark78H-21 ; frame # 12993-01, controller # 12993-01 and motor # 12993-01 Cup set ACx21</v>
      </c>
      <c r="F55" s="376"/>
      <c r="G55" s="376"/>
      <c r="H55" s="376">
        <f>report_47_flagged!C48</f>
        <v>1</v>
      </c>
      <c r="I55" s="376">
        <f>report_47_flagged!F48</f>
        <v>1</v>
      </c>
      <c r="J55" s="139">
        <f>report_47_flagged!AC48</f>
        <v>44082</v>
      </c>
      <c r="K55" s="139">
        <f>report_47_flagged!AD48</f>
        <v>44092</v>
      </c>
      <c r="L55" s="139">
        <f>report_47_flagged!AE48</f>
        <v>44087</v>
      </c>
      <c r="M55" s="151">
        <f>report_47_flagged!AF48</f>
        <v>10</v>
      </c>
      <c r="N55" s="125">
        <f>report_47_flagged!H48</f>
        <v>36.622857142857143</v>
      </c>
      <c r="O55" s="125">
        <f t="shared" si="0"/>
        <v>2.1973714285714284E-2</v>
      </c>
      <c r="P55" s="125">
        <f>report_47_flagged!J48</f>
        <v>1</v>
      </c>
      <c r="Q55" s="475">
        <f>report_47_flagged!BA48</f>
        <v>40.659999999999997</v>
      </c>
      <c r="R55" s="475">
        <f t="shared" si="1"/>
        <v>0.89451999999999987</v>
      </c>
      <c r="S55" s="476">
        <f>report_47_flagged!BB48</f>
        <v>1</v>
      </c>
      <c r="T55" s="475">
        <f>report_47_flagged!BC48</f>
        <v>8.57</v>
      </c>
      <c r="U55" s="475">
        <f t="shared" si="2"/>
        <v>0.24853000000000003</v>
      </c>
      <c r="V55" s="476">
        <f>report_47_flagged!BD48</f>
        <v>1</v>
      </c>
      <c r="W55" s="155">
        <f>(report_47_flagged!N48/100)*report_47_flagged!H48</f>
        <v>4.7242754358019141</v>
      </c>
      <c r="X55" s="155">
        <f t="shared" si="3"/>
        <v>9.9250269680622616E-2</v>
      </c>
      <c r="Y55" s="151">
        <f>report_47_flagged!AP48</f>
        <v>1</v>
      </c>
      <c r="Z55" s="155">
        <f>(report_47_flagged!P48/100)*report_47_flagged!H48</f>
        <v>0.2161694322654179</v>
      </c>
      <c r="AA55" s="155">
        <f t="shared" si="4"/>
        <v>8.2154623227422095E-3</v>
      </c>
      <c r="AB55" s="151">
        <f>report_47_flagged!AR48</f>
        <v>1</v>
      </c>
      <c r="AC55" s="155">
        <f>(report_47_flagged!R48/100)*report_47_flagged!H48</f>
        <v>1.7106277206485125</v>
      </c>
      <c r="AD55" s="155">
        <f t="shared" si="5"/>
        <v>4.7908571808539621E-2</v>
      </c>
      <c r="AE55" s="151">
        <f>report_47_flagged!AT48</f>
        <v>1</v>
      </c>
      <c r="AF55" s="155">
        <f>(report_47_flagged!L48/100)*report_47_flagged!H48</f>
        <v>3.0136477151534025</v>
      </c>
      <c r="AG55" s="155">
        <f t="shared" si="6"/>
        <v>5.7287849820421635E-2</v>
      </c>
      <c r="AH55" s="151">
        <f>report_47_flagged!AV48</f>
        <v>1</v>
      </c>
      <c r="AI55" s="155">
        <f>(report_47_flagged!T48/100)*report_47_flagged!H48</f>
        <v>1.7402525825454276</v>
      </c>
      <c r="AJ55" s="155">
        <f t="shared" si="7"/>
        <v>8.5278769069704038E-2</v>
      </c>
      <c r="AK55" s="151">
        <f>report_47_flagged!AX48</f>
        <v>1</v>
      </c>
    </row>
    <row r="56" spans="1:37" ht="15.75">
      <c r="A56" s="376">
        <f>report_47_flagged!A49</f>
        <v>2020</v>
      </c>
      <c r="B56" s="376" t="str">
        <f>LEFT(report_47_flagged!B49,2)</f>
        <v>47</v>
      </c>
      <c r="C56" s="376">
        <f>report_47_flagged!E49</f>
        <v>3800</v>
      </c>
      <c r="D56" s="151">
        <f>report_47_flagged!AM49</f>
        <v>3854.6</v>
      </c>
      <c r="E56" s="376" t="str">
        <f>report_47_flagged!D49</f>
        <v>McLane-PARFLUX-Mark78H-21 ; frame # 12993-01, controller # 12993-01 and motor # 12993-01 Cup set ACx21</v>
      </c>
      <c r="F56" s="376"/>
      <c r="G56" s="376"/>
      <c r="H56" s="376">
        <f>report_47_flagged!C49</f>
        <v>2</v>
      </c>
      <c r="I56" s="376">
        <f>report_47_flagged!F49</f>
        <v>1</v>
      </c>
      <c r="J56" s="139">
        <f>report_47_flagged!AC49</f>
        <v>44092</v>
      </c>
      <c r="K56" s="139">
        <f>report_47_flagged!AD49</f>
        <v>44102</v>
      </c>
      <c r="L56" s="139">
        <f>report_47_flagged!AE49</f>
        <v>44097</v>
      </c>
      <c r="M56" s="151">
        <f>report_47_flagged!AF49</f>
        <v>10</v>
      </c>
      <c r="N56" s="125">
        <f>report_47_flagged!H49</f>
        <v>36.45428571428571</v>
      </c>
      <c r="O56" s="125">
        <f t="shared" si="0"/>
        <v>2.1872571428571425E-2</v>
      </c>
      <c r="P56" s="125">
        <f>report_47_flagged!J49</f>
        <v>1</v>
      </c>
      <c r="Q56" s="475">
        <f>report_47_flagged!BA49</f>
        <v>40.57</v>
      </c>
      <c r="R56" s="475">
        <f t="shared" si="1"/>
        <v>0.89254</v>
      </c>
      <c r="S56" s="476">
        <f>report_47_flagged!BB49</f>
        <v>1</v>
      </c>
      <c r="T56" s="475">
        <f>report_47_flagged!BC49</f>
        <v>8.58</v>
      </c>
      <c r="U56" s="475">
        <f t="shared" si="2"/>
        <v>0.24882000000000001</v>
      </c>
      <c r="V56" s="476">
        <f>report_47_flagged!BD49</f>
        <v>1</v>
      </c>
      <c r="W56" s="155">
        <f>(report_47_flagged!N49/100)*report_47_flagged!H49</f>
        <v>4.8005469110216401</v>
      </c>
      <c r="X56" s="155">
        <f t="shared" si="3"/>
        <v>0.10085262428237368</v>
      </c>
      <c r="Y56" s="151">
        <f>report_47_flagged!AP49</f>
        <v>1</v>
      </c>
      <c r="Z56" s="155">
        <f>(report_47_flagged!P49/100)*report_47_flagged!H49</f>
        <v>0.26006813584736416</v>
      </c>
      <c r="AA56" s="155">
        <f t="shared" si="4"/>
        <v>9.8838209871249492E-3</v>
      </c>
      <c r="AB56" s="151">
        <f>report_47_flagged!AR49</f>
        <v>1</v>
      </c>
      <c r="AC56" s="155">
        <f>(report_47_flagged!R49/100)*report_47_flagged!H49</f>
        <v>1.8167697845624529</v>
      </c>
      <c r="AD56" s="155">
        <f t="shared" si="5"/>
        <v>5.0881231861657314E-2</v>
      </c>
      <c r="AE56" s="151">
        <f>report_47_flagged!AT49</f>
        <v>3</v>
      </c>
      <c r="AF56" s="155">
        <f>(report_47_flagged!L49/100)*report_47_flagged!H49</f>
        <v>2.9837771264591884</v>
      </c>
      <c r="AG56" s="155">
        <f t="shared" si="6"/>
        <v>5.6720025721222096E-2</v>
      </c>
      <c r="AH56" s="151">
        <f>report_47_flagged!AV49</f>
        <v>1</v>
      </c>
      <c r="AI56" s="155">
        <f>(report_47_flagged!T49/100)*report_47_flagged!H49</f>
        <v>1.8360055352443834</v>
      </c>
      <c r="AJ56" s="155">
        <f t="shared" si="7"/>
        <v>8.9971015484309427E-2</v>
      </c>
      <c r="AK56" s="151">
        <f>report_47_flagged!AX49</f>
        <v>1</v>
      </c>
    </row>
    <row r="57" spans="1:37" ht="15.75">
      <c r="A57" s="376">
        <f>report_47_flagged!A50</f>
        <v>2020</v>
      </c>
      <c r="B57" s="376" t="str">
        <f>LEFT(report_47_flagged!B50,2)</f>
        <v>47</v>
      </c>
      <c r="C57" s="376">
        <f>report_47_flagged!E50</f>
        <v>3800</v>
      </c>
      <c r="D57" s="151">
        <f>report_47_flagged!AM50</f>
        <v>3854.6</v>
      </c>
      <c r="E57" s="376" t="str">
        <f>report_47_flagged!D50</f>
        <v>McLane-PARFLUX-Mark78H-21 ; frame # 12993-01, controller # 12993-01 and motor # 12993-01 Cup set ACx21</v>
      </c>
      <c r="F57" s="376"/>
      <c r="G57" s="376"/>
      <c r="H57" s="376">
        <f>report_47_flagged!C50</f>
        <v>3</v>
      </c>
      <c r="I57" s="376">
        <f>report_47_flagged!F50</f>
        <v>1</v>
      </c>
      <c r="J57" s="139">
        <f>report_47_flagged!AC50</f>
        <v>44102</v>
      </c>
      <c r="K57" s="139">
        <f>report_47_flagged!AD50</f>
        <v>44112</v>
      </c>
      <c r="L57" s="139">
        <f>report_47_flagged!AE50</f>
        <v>44107</v>
      </c>
      <c r="M57" s="151">
        <f>report_47_flagged!AF50</f>
        <v>10</v>
      </c>
      <c r="N57" s="125">
        <f>report_47_flagged!H50</f>
        <v>50.3</v>
      </c>
      <c r="O57" s="125">
        <f t="shared" si="0"/>
        <v>3.0179999999999995E-2</v>
      </c>
      <c r="P57" s="125">
        <f>report_47_flagged!J50</f>
        <v>1</v>
      </c>
      <c r="Q57" s="475">
        <f>report_47_flagged!BA50</f>
        <v>40.594999999999999</v>
      </c>
      <c r="R57" s="475">
        <f t="shared" si="1"/>
        <v>0.89308999999999994</v>
      </c>
      <c r="S57" s="476">
        <f>report_47_flagged!BB50</f>
        <v>1</v>
      </c>
      <c r="T57" s="475">
        <f>report_47_flagged!BC50</f>
        <v>8.625</v>
      </c>
      <c r="U57" s="475">
        <f t="shared" si="2"/>
        <v>0.25012499999999999</v>
      </c>
      <c r="V57" s="476">
        <f>report_47_flagged!BD50</f>
        <v>1</v>
      </c>
      <c r="W57" s="155">
        <f>(report_47_flagged!N50/100)*report_47_flagged!H50</f>
        <v>6.4023747625350955</v>
      </c>
      <c r="X57" s="155">
        <f t="shared" si="3"/>
        <v>0.1345047363162811</v>
      </c>
      <c r="Y57" s="151">
        <f>report_47_flagged!AP50</f>
        <v>1</v>
      </c>
      <c r="Z57" s="155">
        <f>(report_47_flagged!P50/100)*report_47_flagged!H50</f>
        <v>0.29253500139713284</v>
      </c>
      <c r="AA57" s="155">
        <f t="shared" si="4"/>
        <v>1.1117715658847841E-2</v>
      </c>
      <c r="AB57" s="151">
        <f>report_47_flagged!AR50</f>
        <v>1</v>
      </c>
      <c r="AC57" s="155">
        <f>(report_47_flagged!R50/100)*report_47_flagged!H50</f>
        <v>2.1442764309639903</v>
      </c>
      <c r="AD57" s="155">
        <f t="shared" si="5"/>
        <v>6.0053523119134256E-2</v>
      </c>
      <c r="AE57" s="151">
        <f>report_47_flagged!AT50</f>
        <v>1</v>
      </c>
      <c r="AF57" s="155">
        <f>(report_47_flagged!L50/100)*report_47_flagged!H50</f>
        <v>4.2580983315711043</v>
      </c>
      <c r="AG57" s="155">
        <f t="shared" si="6"/>
        <v>8.0944198126759584E-2</v>
      </c>
      <c r="AH57" s="151">
        <f>report_47_flagged!AV50</f>
        <v>1</v>
      </c>
      <c r="AI57" s="155">
        <f>(report_47_flagged!T50/100)*report_47_flagged!H50</f>
        <v>2.5314684940157135</v>
      </c>
      <c r="AJ57" s="155">
        <f t="shared" si="7"/>
        <v>0.12405125513023747</v>
      </c>
      <c r="AK57" s="151">
        <f>report_47_flagged!AX50</f>
        <v>1</v>
      </c>
    </row>
    <row r="58" spans="1:37" ht="15.75">
      <c r="A58" s="376">
        <f>report_47_flagged!A51</f>
        <v>2020</v>
      </c>
      <c r="B58" s="376" t="str">
        <f>LEFT(report_47_flagged!B51,2)</f>
        <v>47</v>
      </c>
      <c r="C58" s="376">
        <f>report_47_flagged!E51</f>
        <v>3800</v>
      </c>
      <c r="D58" s="151">
        <f>report_47_flagged!AM51</f>
        <v>3854.6</v>
      </c>
      <c r="E58" s="376" t="str">
        <f>report_47_flagged!D51</f>
        <v>McLane-PARFLUX-Mark78H-21 ; frame # 12993-01, controller # 12993-01 and motor # 12993-01 Cup set ACx21</v>
      </c>
      <c r="F58" s="376"/>
      <c r="G58" s="376"/>
      <c r="H58" s="376">
        <f>report_47_flagged!C51</f>
        <v>4</v>
      </c>
      <c r="I58" s="376">
        <f>report_47_flagged!F51</f>
        <v>1</v>
      </c>
      <c r="J58" s="139">
        <f>report_47_flagged!AC51</f>
        <v>44112</v>
      </c>
      <c r="K58" s="139">
        <f>report_47_flagged!AD51</f>
        <v>44122</v>
      </c>
      <c r="L58" s="139">
        <f>report_47_flagged!AE51</f>
        <v>44117</v>
      </c>
      <c r="M58" s="151">
        <f>report_47_flagged!AF51</f>
        <v>10</v>
      </c>
      <c r="N58" s="125">
        <f>report_47_flagged!H51</f>
        <v>51.174285714285716</v>
      </c>
      <c r="O58" s="125">
        <f t="shared" si="0"/>
        <v>3.0704571428571428E-2</v>
      </c>
      <c r="P58" s="125">
        <f>report_47_flagged!J51</f>
        <v>1</v>
      </c>
      <c r="Q58" s="475">
        <f>report_47_flagged!BA51</f>
        <v>40.380000000000003</v>
      </c>
      <c r="R58" s="475">
        <f t="shared" si="1"/>
        <v>0.88836000000000004</v>
      </c>
      <c r="S58" s="476">
        <f>report_47_flagged!BB51</f>
        <v>1</v>
      </c>
      <c r="T58" s="475">
        <f>report_47_flagged!BC51</f>
        <v>8.59</v>
      </c>
      <c r="U58" s="475">
        <f t="shared" si="2"/>
        <v>0.24911</v>
      </c>
      <c r="V58" s="476">
        <f>report_47_flagged!BD51</f>
        <v>1</v>
      </c>
      <c r="W58" s="155">
        <f>(report_47_flagged!N51/100)*report_47_flagged!H51</f>
        <v>6.6564511348724364</v>
      </c>
      <c r="X58" s="155">
        <f t="shared" si="3"/>
        <v>0.13984251748857529</v>
      </c>
      <c r="Y58" s="151">
        <f>report_47_flagged!AP51</f>
        <v>1</v>
      </c>
      <c r="Z58" s="155">
        <f>(report_47_flagged!P51/100)*report_47_flagged!H51</f>
        <v>0.3025426486372948</v>
      </c>
      <c r="AA58" s="155">
        <f t="shared" si="4"/>
        <v>1.1498053655664602E-2</v>
      </c>
      <c r="AB58" s="151">
        <f>report_47_flagged!AR51</f>
        <v>1</v>
      </c>
      <c r="AC58" s="155">
        <f>(report_47_flagged!R51/100)*report_47_flagged!H51</f>
        <v>2.2141039481068039</v>
      </c>
      <c r="AD58" s="155">
        <f t="shared" si="5"/>
        <v>6.2009142438795621E-2</v>
      </c>
      <c r="AE58" s="151">
        <f>report_47_flagged!AT51</f>
        <v>1</v>
      </c>
      <c r="AF58" s="155">
        <f>(report_47_flagged!L51/100)*report_47_flagged!H51</f>
        <v>4.4423471867656339</v>
      </c>
      <c r="AG58" s="155">
        <f t="shared" si="6"/>
        <v>8.4446671455972705E-2</v>
      </c>
      <c r="AH58" s="151">
        <f>report_47_flagged!AV51</f>
        <v>1</v>
      </c>
      <c r="AI58" s="155">
        <f>(report_47_flagged!T51/100)*report_47_flagged!H51</f>
        <v>2.0129301825629304</v>
      </c>
      <c r="AJ58" s="155">
        <f t="shared" si="7"/>
        <v>9.8640973105833793E-2</v>
      </c>
      <c r="AK58" s="151">
        <f>report_47_flagged!AX51</f>
        <v>1</v>
      </c>
    </row>
    <row r="59" spans="1:37" ht="15.75">
      <c r="A59" s="376">
        <f>report_47_flagged!A52</f>
        <v>2020</v>
      </c>
      <c r="B59" s="376" t="str">
        <f>LEFT(report_47_flagged!B52,2)</f>
        <v>47</v>
      </c>
      <c r="C59" s="376">
        <f>report_47_flagged!E52</f>
        <v>3800</v>
      </c>
      <c r="D59" s="151">
        <f>report_47_flagged!AM52</f>
        <v>3854.6</v>
      </c>
      <c r="E59" s="376" t="str">
        <f>report_47_flagged!D52</f>
        <v>McLane-PARFLUX-Mark78H-21 ; frame # 12993-01, controller # 12993-01 and motor # 12993-01 Cup set ACx21</v>
      </c>
      <c r="F59" s="376"/>
      <c r="G59" s="376"/>
      <c r="H59" s="376">
        <f>report_47_flagged!C52</f>
        <v>5</v>
      </c>
      <c r="I59" s="376">
        <f>report_47_flagged!F52</f>
        <v>1</v>
      </c>
      <c r="J59" s="139">
        <f>report_47_flagged!AC52</f>
        <v>44122</v>
      </c>
      <c r="K59" s="139">
        <f>report_47_flagged!AD52</f>
        <v>44132</v>
      </c>
      <c r="L59" s="139">
        <f>report_47_flagged!AE52</f>
        <v>44127</v>
      </c>
      <c r="M59" s="151">
        <f>report_47_flagged!AF52</f>
        <v>10</v>
      </c>
      <c r="N59" s="125">
        <f>report_47_flagged!H52</f>
        <v>64.305714285714288</v>
      </c>
      <c r="O59" s="125">
        <f>N59*$N$5</f>
        <v>3.8583428571428567E-2</v>
      </c>
      <c r="P59" s="125">
        <f>report_47_flagged!J52</f>
        <v>1</v>
      </c>
      <c r="Q59" s="475">
        <f>report_47_flagged!BA52</f>
        <v>40.57</v>
      </c>
      <c r="R59" s="475">
        <f>Q59*$Q$5</f>
        <v>0.89254</v>
      </c>
      <c r="S59" s="476">
        <f>report_47_flagged!BB52</f>
        <v>1</v>
      </c>
      <c r="T59" s="475">
        <f>report_47_flagged!BC52</f>
        <v>8.6</v>
      </c>
      <c r="U59" s="475">
        <f>T59*$T$5</f>
        <v>0.24940000000000001</v>
      </c>
      <c r="V59" s="476">
        <f>report_47_flagged!BD52</f>
        <v>1</v>
      </c>
      <c r="W59" s="155">
        <f>(report_47_flagged!N52/100)*report_47_flagged!H52</f>
        <v>8.5998203611918846</v>
      </c>
      <c r="X59" s="155">
        <f>W59*SQRT(($W$5)^2+($N$5)^2)</f>
        <v>0.18066992529370213</v>
      </c>
      <c r="Y59" s="151">
        <f>report_47_flagged!AP52</f>
        <v>1</v>
      </c>
      <c r="Z59" s="155">
        <f>(report_47_flagged!P52/100)*report_47_flagged!H52</f>
        <v>0.41394692399501803</v>
      </c>
      <c r="AA59" s="155">
        <f>Z59*SQRT(($Z$5)^2+($N$5)^2)</f>
        <v>1.5731943790834237E-2</v>
      </c>
      <c r="AB59" s="151">
        <f>report_47_flagged!AR52</f>
        <v>1</v>
      </c>
      <c r="AC59" s="155">
        <f>(report_47_flagged!R52/100)*report_47_flagged!H52</f>
        <v>3.1603947372456327</v>
      </c>
      <c r="AD59" s="155">
        <f>AC59*SQRT(($AC$5)^2+($N$5)^2)</f>
        <v>8.8511367134435526E-2</v>
      </c>
      <c r="AE59" s="151">
        <f>report_47_flagged!AT52</f>
        <v>1</v>
      </c>
      <c r="AF59" s="155">
        <f>(report_47_flagged!L52/100)*report_47_flagged!H52</f>
        <v>5.4394256239462537</v>
      </c>
      <c r="AG59" s="155">
        <f>AF59*SQRT(($AF$5)^2+($N$5)^2)</f>
        <v>0.10340060541486493</v>
      </c>
      <c r="AH59" s="151">
        <f>report_47_flagged!AV52</f>
        <v>1</v>
      </c>
      <c r="AI59" s="155">
        <f>(report_47_flagged!T52/100)*report_47_flagged!H52</f>
        <v>2.7988803627089318</v>
      </c>
      <c r="AJ59" s="155">
        <f>AI59*SQRT(($AI$5)^2+($N$5)^2)</f>
        <v>0.13715541898869948</v>
      </c>
      <c r="AK59" s="151">
        <f>report_47_flagged!AX52</f>
        <v>1</v>
      </c>
    </row>
    <row r="60" spans="1:37" ht="15.75">
      <c r="A60" s="376">
        <f>report_47_flagged!A53</f>
        <v>2020</v>
      </c>
      <c r="B60" s="376" t="str">
        <f>LEFT(report_47_flagged!B53,2)</f>
        <v>47</v>
      </c>
      <c r="C60" s="376">
        <f>report_47_flagged!E53</f>
        <v>3800</v>
      </c>
      <c r="D60" s="151">
        <f>report_47_flagged!AM53</f>
        <v>3854.6</v>
      </c>
      <c r="E60" s="376" t="str">
        <f>report_47_flagged!D53</f>
        <v>McLane-PARFLUX-Mark78H-21 ; frame # 12993-01, controller # 12993-01 and motor # 12993-01 Cup set ACx21</v>
      </c>
      <c r="F60" s="376"/>
      <c r="G60" s="376"/>
      <c r="H60" s="376">
        <f>report_47_flagged!C53</f>
        <v>6</v>
      </c>
      <c r="I60" s="376">
        <f>report_47_flagged!F53</f>
        <v>1</v>
      </c>
      <c r="J60" s="139">
        <f>report_47_flagged!AC53</f>
        <v>44132</v>
      </c>
      <c r="K60" s="139">
        <f>report_47_flagged!AD53</f>
        <v>44142</v>
      </c>
      <c r="L60" s="139">
        <f>report_47_flagged!AE53</f>
        <v>44137</v>
      </c>
      <c r="M60" s="151">
        <f>report_47_flagged!AF53</f>
        <v>10</v>
      </c>
      <c r="N60" s="125">
        <f>report_47_flagged!H53</f>
        <v>65.257142857142853</v>
      </c>
      <c r="O60" s="125">
        <f t="shared" si="0"/>
        <v>3.9154285714285711E-2</v>
      </c>
      <c r="P60" s="125">
        <f>report_47_flagged!J53</f>
        <v>1</v>
      </c>
      <c r="Q60" s="475">
        <f>report_47_flagged!BA53</f>
        <v>40.479999999999997</v>
      </c>
      <c r="R60" s="475">
        <f t="shared" si="1"/>
        <v>0.89055999999999991</v>
      </c>
      <c r="S60" s="476">
        <f>report_47_flagged!BB53</f>
        <v>1</v>
      </c>
      <c r="T60" s="475">
        <f>report_47_flagged!BC53</f>
        <v>8.61</v>
      </c>
      <c r="U60" s="475">
        <f t="shared" si="2"/>
        <v>0.24969</v>
      </c>
      <c r="V60" s="476">
        <f>report_47_flagged!BD53</f>
        <v>1</v>
      </c>
      <c r="W60" s="155">
        <f>(report_47_flagged!N53/100)*report_47_flagged!H53</f>
        <v>8.6893411647251675</v>
      </c>
      <c r="X60" s="155">
        <f t="shared" si="3"/>
        <v>0.18255062933254196</v>
      </c>
      <c r="Y60" s="151">
        <f>report_47_flagged!AP53</f>
        <v>1</v>
      </c>
      <c r="Z60" s="155">
        <f>(report_47_flagged!P53/100)*report_47_flagged!H53</f>
        <v>0.40888509396144324</v>
      </c>
      <c r="AA60" s="155">
        <f t="shared" si="4"/>
        <v>1.5539570273962992E-2</v>
      </c>
      <c r="AB60" s="151">
        <f>report_47_flagged!AR53</f>
        <v>1</v>
      </c>
      <c r="AC60" s="155">
        <f>(report_47_flagged!R53/100)*report_47_flagged!H53</f>
        <v>2.9749982808620326</v>
      </c>
      <c r="AD60" s="155">
        <f t="shared" si="5"/>
        <v>8.3319074658118567E-2</v>
      </c>
      <c r="AE60" s="151">
        <f>report_47_flagged!AT53</f>
        <v>1</v>
      </c>
      <c r="AF60" s="155">
        <f>(report_47_flagged!L53/100)*report_47_flagged!H53</f>
        <v>5.714342883863134</v>
      </c>
      <c r="AG60" s="155">
        <f t="shared" si="6"/>
        <v>0.10862663718359752</v>
      </c>
      <c r="AH60" s="151">
        <f>report_47_flagged!AV53</f>
        <v>1</v>
      </c>
      <c r="AI60" s="155">
        <f>(report_47_flagged!T53/100)*report_47_flagged!H53</f>
        <v>2.6963748637644209</v>
      </c>
      <c r="AJ60" s="155">
        <f t="shared" si="7"/>
        <v>0.13213227300371971</v>
      </c>
      <c r="AK60" s="151">
        <f>report_47_flagged!AX53</f>
        <v>1</v>
      </c>
    </row>
    <row r="61" spans="1:37" ht="15.75">
      <c r="A61" s="376">
        <f>report_47_flagged!A54</f>
        <v>2020</v>
      </c>
      <c r="B61" s="376" t="str">
        <f>LEFT(report_47_flagged!B54,2)</f>
        <v>47</v>
      </c>
      <c r="C61" s="376">
        <f>report_47_flagged!E54</f>
        <v>3800</v>
      </c>
      <c r="D61" s="151">
        <f>report_47_flagged!AM54</f>
        <v>3854.6</v>
      </c>
      <c r="E61" s="376" t="str">
        <f>report_47_flagged!D54</f>
        <v>McLane-PARFLUX-Mark78H-21 ; frame # 12993-01, controller # 12993-01 and motor # 12993-01 Cup set ACx21</v>
      </c>
      <c r="F61" s="376"/>
      <c r="G61" s="376"/>
      <c r="H61" s="376">
        <f>report_47_flagged!C54</f>
        <v>7</v>
      </c>
      <c r="I61" s="376">
        <f>report_47_flagged!F54</f>
        <v>1</v>
      </c>
      <c r="J61" s="139">
        <f>report_47_flagged!AC54</f>
        <v>44142</v>
      </c>
      <c r="K61" s="139">
        <f>report_47_flagged!AD54</f>
        <v>44152</v>
      </c>
      <c r="L61" s="139">
        <f>report_47_flagged!AE54</f>
        <v>44147</v>
      </c>
      <c r="M61" s="151">
        <f>report_47_flagged!AF54</f>
        <v>10</v>
      </c>
      <c r="N61" s="125">
        <f>report_47_flagged!H54</f>
        <v>65.802857142857135</v>
      </c>
      <c r="O61" s="125">
        <f t="shared" si="0"/>
        <v>3.948171428571428E-2</v>
      </c>
      <c r="P61" s="125">
        <f>report_47_flagged!J54</f>
        <v>1</v>
      </c>
      <c r="Q61" s="475">
        <f>report_47_flagged!BA54</f>
        <v>40.44</v>
      </c>
      <c r="R61" s="475">
        <f t="shared" si="1"/>
        <v>0.88967999999999992</v>
      </c>
      <c r="S61" s="476">
        <f>report_47_flagged!BB54</f>
        <v>1</v>
      </c>
      <c r="T61" s="475">
        <f>report_47_flagged!BC54</f>
        <v>8.59</v>
      </c>
      <c r="U61" s="475">
        <f t="shared" si="2"/>
        <v>0.24911</v>
      </c>
      <c r="V61" s="476">
        <f>report_47_flagged!BD54</f>
        <v>1</v>
      </c>
      <c r="W61" s="155">
        <f>(report_47_flagged!N54/100)*report_47_flagged!H54</f>
        <v>8.7697649361746652</v>
      </c>
      <c r="X61" s="155">
        <f t="shared" si="3"/>
        <v>0.18424021773896823</v>
      </c>
      <c r="Y61" s="151">
        <f>report_47_flagged!AP54</f>
        <v>1</v>
      </c>
      <c r="Z61" s="155">
        <f>(report_47_flagged!P54/100)*report_47_flagged!H54</f>
        <v>0.3959535640035356</v>
      </c>
      <c r="AA61" s="155">
        <f t="shared" si="4"/>
        <v>1.5048110884764244E-2</v>
      </c>
      <c r="AB61" s="151">
        <f>report_47_flagged!AR54</f>
        <v>1</v>
      </c>
      <c r="AC61" s="155">
        <f>(report_47_flagged!R54/100)*report_47_flagged!H54</f>
        <v>3.0041538330338429</v>
      </c>
      <c r="AD61" s="155">
        <f t="shared" si="5"/>
        <v>8.4135617525967835E-2</v>
      </c>
      <c r="AE61" s="151">
        <f>report_47_flagged!AT54</f>
        <v>1</v>
      </c>
      <c r="AF61" s="155">
        <f>(report_47_flagged!L54/100)*report_47_flagged!H54</f>
        <v>5.7656111031408219</v>
      </c>
      <c r="AG61" s="155">
        <f t="shared" si="6"/>
        <v>0.10960121892776503</v>
      </c>
      <c r="AH61" s="151">
        <f>report_47_flagged!AV54</f>
        <v>1</v>
      </c>
      <c r="AI61" s="155">
        <f>(report_47_flagged!T54/100)*report_47_flagged!H54</f>
        <v>2.4381876052360312</v>
      </c>
      <c r="AJ61" s="155">
        <f t="shared" si="7"/>
        <v>0.11948014892838725</v>
      </c>
      <c r="AK61" s="151">
        <f>report_47_flagged!AX54</f>
        <v>1</v>
      </c>
    </row>
    <row r="62" spans="1:37" ht="15.75">
      <c r="A62" s="376">
        <f>report_47_flagged!A55</f>
        <v>2020</v>
      </c>
      <c r="B62" s="376" t="str">
        <f>LEFT(report_47_flagged!B55,2)</f>
        <v>47</v>
      </c>
      <c r="C62" s="376">
        <f>report_47_flagged!E55</f>
        <v>3800</v>
      </c>
      <c r="D62" s="151">
        <f>report_47_flagged!AM55</f>
        <v>3854.6</v>
      </c>
      <c r="E62" s="376" t="str">
        <f>report_47_flagged!D55</f>
        <v>McLane-PARFLUX-Mark78H-21 ; frame # 12993-01, controller # 12993-01 and motor # 12993-01 Cup set ACx21</v>
      </c>
      <c r="F62" s="376"/>
      <c r="G62" s="376"/>
      <c r="H62" s="376">
        <f>report_47_flagged!C55</f>
        <v>8</v>
      </c>
      <c r="I62" s="376">
        <f>report_47_flagged!F55</f>
        <v>1</v>
      </c>
      <c r="J62" s="139">
        <f>report_47_flagged!AC55</f>
        <v>44152</v>
      </c>
      <c r="K62" s="139">
        <f>report_47_flagged!AD55</f>
        <v>44162</v>
      </c>
      <c r="L62" s="139">
        <f>report_47_flagged!AE55</f>
        <v>44157</v>
      </c>
      <c r="M62" s="151">
        <f>report_47_flagged!AF55</f>
        <v>10</v>
      </c>
      <c r="N62" s="125">
        <f>report_47_flagged!H55</f>
        <v>57.751428571428576</v>
      </c>
      <c r="O62" s="125">
        <f t="shared" si="0"/>
        <v>3.4650857142857143E-2</v>
      </c>
      <c r="P62" s="125">
        <f>report_47_flagged!J55</f>
        <v>1</v>
      </c>
      <c r="Q62" s="475">
        <f>report_47_flagged!BA55</f>
        <v>40.49</v>
      </c>
      <c r="R62" s="475">
        <f t="shared" si="1"/>
        <v>0.89078000000000002</v>
      </c>
      <c r="S62" s="476">
        <f>report_47_flagged!BB55</f>
        <v>1</v>
      </c>
      <c r="T62" s="475">
        <f>report_47_flagged!BC55</f>
        <v>8.51</v>
      </c>
      <c r="U62" s="475">
        <f t="shared" si="2"/>
        <v>0.24679000000000001</v>
      </c>
      <c r="V62" s="476">
        <f>report_47_flagged!BD55</f>
        <v>1</v>
      </c>
      <c r="W62" s="155">
        <f>(report_47_flagged!N55/100)*report_47_flagged!H55</f>
        <v>7.7271786606652402</v>
      </c>
      <c r="X62" s="155">
        <f t="shared" si="3"/>
        <v>0.1623369713225023</v>
      </c>
      <c r="Y62" s="151">
        <f>report_47_flagged!AP55</f>
        <v>1</v>
      </c>
      <c r="Z62" s="155">
        <f>(report_47_flagged!P55/100)*report_47_flagged!H55</f>
        <v>0.34392507076433732</v>
      </c>
      <c r="AA62" s="155">
        <f t="shared" si="4"/>
        <v>1.3070781706275852E-2</v>
      </c>
      <c r="AB62" s="151">
        <f>report_47_flagged!AR55</f>
        <v>1</v>
      </c>
      <c r="AC62" s="155">
        <f>(report_47_flagged!R55/100)*report_47_flagged!H55</f>
        <v>2.689048072808554</v>
      </c>
      <c r="AD62" s="155">
        <f t="shared" si="5"/>
        <v>7.5310630792258998E-2</v>
      </c>
      <c r="AE62" s="151">
        <f>report_47_flagged!AT55</f>
        <v>1</v>
      </c>
      <c r="AF62" s="155">
        <f>(report_47_flagged!L55/100)*report_47_flagged!H55</f>
        <v>5.0381305878566867</v>
      </c>
      <c r="AG62" s="155">
        <f t="shared" si="6"/>
        <v>9.5772198934046524E-2</v>
      </c>
      <c r="AH62" s="151">
        <f>report_47_flagged!AV55</f>
        <v>1</v>
      </c>
      <c r="AI62" s="155">
        <f>(report_47_flagged!T55/100)*report_47_flagged!H55</f>
        <v>2.1542653729310803</v>
      </c>
      <c r="AJ62" s="155">
        <f t="shared" si="7"/>
        <v>0.1055669166049083</v>
      </c>
      <c r="AK62" s="151">
        <f>report_47_flagged!AX55</f>
        <v>1</v>
      </c>
    </row>
    <row r="63" spans="1:37" ht="15.75">
      <c r="A63" s="376">
        <f>report_47_flagged!A56</f>
        <v>2020</v>
      </c>
      <c r="B63" s="376" t="str">
        <f>LEFT(report_47_flagged!B56,2)</f>
        <v>47</v>
      </c>
      <c r="C63" s="376">
        <f>report_47_flagged!E56</f>
        <v>3800</v>
      </c>
      <c r="D63" s="151">
        <f>report_47_flagged!AM56</f>
        <v>3854.6</v>
      </c>
      <c r="E63" s="376" t="str">
        <f>report_47_flagged!D56</f>
        <v>McLane-PARFLUX-Mark78H-21 ; frame # 12993-01, controller # 12993-01 and motor # 12993-01 Cup set ACx21</v>
      </c>
      <c r="F63" s="376"/>
      <c r="G63" s="376"/>
      <c r="H63" s="376">
        <f>report_47_flagged!C56</f>
        <v>9</v>
      </c>
      <c r="I63" s="376">
        <f>report_47_flagged!F56</f>
        <v>1</v>
      </c>
      <c r="J63" s="139">
        <f>report_47_flagged!AC56</f>
        <v>44162</v>
      </c>
      <c r="K63" s="139">
        <f>report_47_flagged!AD56</f>
        <v>44172</v>
      </c>
      <c r="L63" s="139">
        <f>report_47_flagged!AE56</f>
        <v>44167</v>
      </c>
      <c r="M63" s="151">
        <f>report_47_flagged!AF56</f>
        <v>10</v>
      </c>
      <c r="N63" s="125">
        <f>report_47_flagged!H56</f>
        <v>58.982857142857142</v>
      </c>
      <c r="O63" s="125">
        <f t="shared" si="0"/>
        <v>3.5389714285714281E-2</v>
      </c>
      <c r="P63" s="125">
        <f>report_47_flagged!J56</f>
        <v>1</v>
      </c>
      <c r="Q63" s="475">
        <f>report_47_flagged!BA56</f>
        <v>40.53</v>
      </c>
      <c r="R63" s="475">
        <f t="shared" si="1"/>
        <v>0.89166000000000001</v>
      </c>
      <c r="S63" s="476">
        <f>report_47_flagged!BB56</f>
        <v>1</v>
      </c>
      <c r="T63" s="475">
        <f>report_47_flagged!BC56</f>
        <v>8.64</v>
      </c>
      <c r="U63" s="475">
        <f t="shared" si="2"/>
        <v>0.25056</v>
      </c>
      <c r="V63" s="476">
        <f>report_47_flagged!BD56</f>
        <v>1</v>
      </c>
      <c r="W63" s="155">
        <f>(report_47_flagged!N56/100)*report_47_flagged!H56</f>
        <v>7.8059579370771139</v>
      </c>
      <c r="X63" s="155">
        <f t="shared" si="3"/>
        <v>0.16399201124034221</v>
      </c>
      <c r="Y63" s="151">
        <f>report_47_flagged!AP56</f>
        <v>1</v>
      </c>
      <c r="Z63" s="155">
        <f>(report_47_flagged!P56/100)*report_47_flagged!H56</f>
        <v>0.35772246781757899</v>
      </c>
      <c r="AA63" s="155">
        <f t="shared" si="4"/>
        <v>1.3595148146317407E-2</v>
      </c>
      <c r="AB63" s="151">
        <f>report_47_flagged!AR56</f>
        <v>1</v>
      </c>
      <c r="AC63" s="155">
        <f>(report_47_flagged!R56/100)*report_47_flagged!H56</f>
        <v>2.6776429161334678</v>
      </c>
      <c r="AD63" s="155">
        <f t="shared" si="5"/>
        <v>7.4991213094907014E-2</v>
      </c>
      <c r="AE63" s="151">
        <f>report_47_flagged!AT56</f>
        <v>1</v>
      </c>
      <c r="AF63" s="155">
        <f>(report_47_flagged!L56/100)*report_47_flagged!H56</f>
        <v>5.1283150209436448</v>
      </c>
      <c r="AG63" s="155">
        <f t="shared" si="6"/>
        <v>9.7486557328641602E-2</v>
      </c>
      <c r="AH63" s="151">
        <f>report_47_flagged!AV56</f>
        <v>1</v>
      </c>
      <c r="AI63" s="155">
        <f>(report_47_flagged!T56/100)*report_47_flagged!H56</f>
        <v>2.2373487285932856</v>
      </c>
      <c r="AJ63" s="155">
        <f t="shared" si="7"/>
        <v>0.10963830622508047</v>
      </c>
      <c r="AK63" s="151">
        <f>report_47_flagged!AX56</f>
        <v>1</v>
      </c>
    </row>
    <row r="64" spans="1:37" ht="15.75">
      <c r="A64" s="376">
        <f>report_47_flagged!A57</f>
        <v>2020</v>
      </c>
      <c r="B64" s="376" t="str">
        <f>LEFT(report_47_flagged!B57,2)</f>
        <v>47</v>
      </c>
      <c r="C64" s="376">
        <f>report_47_flagged!E57</f>
        <v>3800</v>
      </c>
      <c r="D64" s="151">
        <f>report_47_flagged!AM57</f>
        <v>3854.6</v>
      </c>
      <c r="E64" s="376" t="str">
        <f>report_47_flagged!D57</f>
        <v>McLane-PARFLUX-Mark78H-21 ; frame # 12993-01, controller # 12993-01 and motor # 12993-01 Cup set ACx21</v>
      </c>
      <c r="F64" s="376"/>
      <c r="G64" s="376"/>
      <c r="H64" s="376">
        <f>report_47_flagged!C57</f>
        <v>10</v>
      </c>
      <c r="I64" s="376">
        <f>report_47_flagged!F57</f>
        <v>1</v>
      </c>
      <c r="J64" s="139">
        <f>report_47_flagged!AC57</f>
        <v>44172</v>
      </c>
      <c r="K64" s="139">
        <f>report_47_flagged!AD57</f>
        <v>44182</v>
      </c>
      <c r="L64" s="139">
        <f>report_47_flagged!AE57</f>
        <v>44177</v>
      </c>
      <c r="M64" s="151">
        <f>report_47_flagged!AF57</f>
        <v>10</v>
      </c>
      <c r="N64" s="125">
        <f>report_47_flagged!H57</f>
        <v>65.742857142857133</v>
      </c>
      <c r="O64" s="125">
        <f t="shared" si="0"/>
        <v>3.9445714285714278E-2</v>
      </c>
      <c r="P64" s="125">
        <f>report_47_flagged!J57</f>
        <v>1</v>
      </c>
      <c r="Q64" s="475">
        <f>report_47_flagged!BA57</f>
        <v>40.33</v>
      </c>
      <c r="R64" s="475">
        <f t="shared" si="1"/>
        <v>0.88725999999999994</v>
      </c>
      <c r="S64" s="476">
        <f>report_47_flagged!BB57</f>
        <v>1</v>
      </c>
      <c r="T64" s="475">
        <f>report_47_flagged!BC57</f>
        <v>8.6300000000000008</v>
      </c>
      <c r="U64" s="475">
        <f t="shared" si="2"/>
        <v>0.25027000000000005</v>
      </c>
      <c r="V64" s="476">
        <f>report_47_flagged!BD57</f>
        <v>1</v>
      </c>
      <c r="W64" s="155">
        <f>(report_47_flagged!N57/100)*report_47_flagged!H57</f>
        <v>8.542111144474573</v>
      </c>
      <c r="X64" s="155">
        <f t="shared" si="3"/>
        <v>0.17945753719311747</v>
      </c>
      <c r="Y64" s="151">
        <f>report_47_flagged!AP57</f>
        <v>1</v>
      </c>
      <c r="Z64" s="155">
        <f>(report_47_flagged!P57/100)*report_47_flagged!H57</f>
        <v>0.37418136942386621</v>
      </c>
      <c r="AA64" s="155">
        <f t="shared" si="4"/>
        <v>1.4220664365715858E-2</v>
      </c>
      <c r="AB64" s="151">
        <f>report_47_flagged!AR57</f>
        <v>1</v>
      </c>
      <c r="AC64" s="155">
        <f>(report_47_flagged!R57/100)*report_47_flagged!H57</f>
        <v>2.7432867567599368</v>
      </c>
      <c r="AD64" s="155">
        <f t="shared" si="5"/>
        <v>7.6829662580134156E-2</v>
      </c>
      <c r="AE64" s="151">
        <f>report_47_flagged!AT57</f>
        <v>1</v>
      </c>
      <c r="AF64" s="155">
        <f>(report_47_flagged!L57/100)*report_47_flagged!H57</f>
        <v>5.7988243877146362</v>
      </c>
      <c r="AG64" s="155">
        <f t="shared" si="6"/>
        <v>0.1102325859084311</v>
      </c>
      <c r="AH64" s="151">
        <f>report_47_flagged!AV57</f>
        <v>1</v>
      </c>
      <c r="AI64" s="155">
        <f>(report_47_flagged!T57/100)*report_47_flagged!H57</f>
        <v>2.5747690160285646</v>
      </c>
      <c r="AJ64" s="155">
        <f t="shared" si="7"/>
        <v>0.12617313976604733</v>
      </c>
      <c r="AK64" s="151">
        <f>report_47_flagged!AX57</f>
        <v>1</v>
      </c>
    </row>
    <row r="65" spans="1:37" ht="15.75">
      <c r="A65" s="376">
        <f>report_47_flagged!A58</f>
        <v>2020</v>
      </c>
      <c r="B65" s="376" t="str">
        <f>LEFT(report_47_flagged!B58,2)</f>
        <v>47</v>
      </c>
      <c r="C65" s="376">
        <f>report_47_flagged!E58</f>
        <v>3800</v>
      </c>
      <c r="D65" s="151">
        <f>report_47_flagged!AM58</f>
        <v>3854.6</v>
      </c>
      <c r="E65" s="376" t="str">
        <f>report_47_flagged!D58</f>
        <v>McLane-PARFLUX-Mark78H-21 ; frame # 12993-01, controller # 12993-01 and motor # 12993-01 Cup set ACx21</v>
      </c>
      <c r="F65" s="376"/>
      <c r="G65" s="376"/>
      <c r="H65" s="376">
        <f>report_47_flagged!C58</f>
        <v>11</v>
      </c>
      <c r="I65" s="376">
        <f>report_47_flagged!F58</f>
        <v>1</v>
      </c>
      <c r="J65" s="139">
        <f>report_47_flagged!AC58</f>
        <v>44182</v>
      </c>
      <c r="K65" s="139">
        <f>report_47_flagged!AD58</f>
        <v>44192</v>
      </c>
      <c r="L65" s="139">
        <f>report_47_flagged!AE58</f>
        <v>44187</v>
      </c>
      <c r="M65" s="151">
        <f>report_47_flagged!AF58</f>
        <v>10</v>
      </c>
      <c r="N65" s="125">
        <f>report_47_flagged!H58</f>
        <v>96.765714285714282</v>
      </c>
      <c r="O65" s="125">
        <f t="shared" si="0"/>
        <v>5.805942857142856E-2</v>
      </c>
      <c r="P65" s="125">
        <f>report_47_flagged!J58</f>
        <v>1</v>
      </c>
      <c r="Q65" s="475">
        <f>report_47_flagged!BA58</f>
        <v>40.08</v>
      </c>
      <c r="R65" s="475">
        <f t="shared" si="1"/>
        <v>0.88175999999999988</v>
      </c>
      <c r="S65" s="476">
        <f>report_47_flagged!BB58</f>
        <v>1</v>
      </c>
      <c r="T65" s="475">
        <f>report_47_flagged!BC58</f>
        <v>8.59</v>
      </c>
      <c r="U65" s="475">
        <f t="shared" si="2"/>
        <v>0.24911</v>
      </c>
      <c r="V65" s="476">
        <f>report_47_flagged!BD58</f>
        <v>1</v>
      </c>
      <c r="W65" s="155">
        <f>(report_47_flagged!N58/100)*report_47_flagged!H58</f>
        <v>13.036912976401192</v>
      </c>
      <c r="X65" s="155">
        <f t="shared" si="3"/>
        <v>0.27388689467700206</v>
      </c>
      <c r="Y65" s="151">
        <f>report_47_flagged!AP58</f>
        <v>1</v>
      </c>
      <c r="Z65" s="155">
        <f>(report_47_flagged!P58/100)*report_47_flagged!H58</f>
        <v>0.72200291649273463</v>
      </c>
      <c r="AA65" s="155">
        <f t="shared" si="4"/>
        <v>2.7439530627406689E-2</v>
      </c>
      <c r="AB65" s="151">
        <f>report_47_flagged!AR58</f>
        <v>1</v>
      </c>
      <c r="AC65" s="155">
        <f>(report_47_flagged!R58/100)*report_47_flagged!H58</f>
        <v>5.223773173507106</v>
      </c>
      <c r="AD65" s="155">
        <f t="shared" si="5"/>
        <v>0.14629922640304882</v>
      </c>
      <c r="AE65" s="151">
        <f>report_47_flagged!AT58</f>
        <v>1</v>
      </c>
      <c r="AF65" s="155">
        <f>(report_47_flagged!L58/100)*report_47_flagged!H58</f>
        <v>7.8131398028940859</v>
      </c>
      <c r="AG65" s="155">
        <f t="shared" si="6"/>
        <v>0.14852365702982348</v>
      </c>
      <c r="AH65" s="151">
        <f>report_47_flagged!AV58</f>
        <v>1</v>
      </c>
      <c r="AI65" s="155">
        <f>(report_47_flagged!T58/100)*report_47_flagged!H58</f>
        <v>6.3475017143049479</v>
      </c>
      <c r="AJ65" s="155">
        <f t="shared" si="7"/>
        <v>0.31105090048020767</v>
      </c>
      <c r="AK65" s="151">
        <f>report_47_flagged!AX58</f>
        <v>1</v>
      </c>
    </row>
    <row r="66" spans="1:37" ht="15.75">
      <c r="A66" s="376">
        <f>report_47_flagged!A59</f>
        <v>2020</v>
      </c>
      <c r="B66" s="376" t="str">
        <f>LEFT(report_47_flagged!B59,2)</f>
        <v>47</v>
      </c>
      <c r="C66" s="376">
        <f>report_47_flagged!E59</f>
        <v>3800</v>
      </c>
      <c r="D66" s="151">
        <f>report_47_flagged!AM59</f>
        <v>3854.6</v>
      </c>
      <c r="E66" s="376" t="str">
        <f>report_47_flagged!D59</f>
        <v>McLane-PARFLUX-Mark78H-21 ; frame # 12993-01, controller # 12993-01 and motor # 12993-01 Cup set ACx21</v>
      </c>
      <c r="F66" s="376"/>
      <c r="G66" s="376"/>
      <c r="H66" s="376">
        <f>report_47_flagged!C59</f>
        <v>12</v>
      </c>
      <c r="I66" s="376">
        <f>report_47_flagged!F59</f>
        <v>1</v>
      </c>
      <c r="J66" s="139">
        <f>report_47_flagged!AC59</f>
        <v>44192</v>
      </c>
      <c r="K66" s="139">
        <f>report_47_flagged!AD59</f>
        <v>44202</v>
      </c>
      <c r="L66" s="139">
        <f>report_47_flagged!AE59</f>
        <v>44197</v>
      </c>
      <c r="M66" s="151">
        <f>report_47_flagged!AF59</f>
        <v>10</v>
      </c>
      <c r="N66" s="125">
        <f>report_47_flagged!H59</f>
        <v>141.94285714285712</v>
      </c>
      <c r="O66" s="125">
        <f t="shared" si="0"/>
        <v>8.5165714285714261E-2</v>
      </c>
      <c r="P66" s="125">
        <f>report_47_flagged!J59</f>
        <v>1</v>
      </c>
      <c r="Q66" s="475">
        <f>report_47_flagged!BA59</f>
        <v>39.980000000000004</v>
      </c>
      <c r="R66" s="475">
        <f t="shared" si="1"/>
        <v>0.87956000000000001</v>
      </c>
      <c r="S66" s="476">
        <f>report_47_flagged!BB59</f>
        <v>1</v>
      </c>
      <c r="T66" s="475">
        <f>report_47_flagged!BC59</f>
        <v>8.5249999999999986</v>
      </c>
      <c r="U66" s="475">
        <f t="shared" si="2"/>
        <v>0.24722499999999997</v>
      </c>
      <c r="V66" s="476">
        <f>report_47_flagged!BD59</f>
        <v>1</v>
      </c>
      <c r="W66" s="155">
        <f>(report_47_flagged!N59/100)*report_47_flagged!H59</f>
        <v>18.713929053170336</v>
      </c>
      <c r="X66" s="155">
        <f t="shared" si="3"/>
        <v>0.39315288250036584</v>
      </c>
      <c r="Y66" s="151">
        <f>report_47_flagged!AP59</f>
        <v>1</v>
      </c>
      <c r="Z66" s="155">
        <f>(report_47_flagged!P59/100)*report_47_flagged!H59</f>
        <v>1.0859804371425084</v>
      </c>
      <c r="AA66" s="155">
        <f t="shared" si="4"/>
        <v>4.1272400408698659E-2</v>
      </c>
      <c r="AB66" s="151">
        <f>report_47_flagged!AR59</f>
        <v>1</v>
      </c>
      <c r="AC66" s="155">
        <f>(report_47_flagged!R59/100)*report_47_flagged!H59</f>
        <v>8.301451415495313</v>
      </c>
      <c r="AD66" s="155">
        <f t="shared" si="5"/>
        <v>0.23249399998240694</v>
      </c>
      <c r="AE66" s="151">
        <f>report_47_flagged!AT59</f>
        <v>1</v>
      </c>
      <c r="AF66" s="155">
        <f>(report_47_flagged!L59/100)*report_47_flagged!H59</f>
        <v>10.412477637675023</v>
      </c>
      <c r="AG66" s="155">
        <f t="shared" si="6"/>
        <v>0.19793569506025077</v>
      </c>
      <c r="AH66" s="151">
        <f>report_47_flagged!AV59</f>
        <v>1</v>
      </c>
      <c r="AI66" s="155">
        <f>(report_47_flagged!T59/100)*report_47_flagged!H59</f>
        <v>12.064326133277305</v>
      </c>
      <c r="AJ66" s="155">
        <f t="shared" si="7"/>
        <v>0.59119629680221675</v>
      </c>
      <c r="AK66" s="151">
        <f>report_47_flagged!AX59</f>
        <v>1</v>
      </c>
    </row>
    <row r="67" spans="1:37" ht="15.75">
      <c r="A67" s="376">
        <f>report_47_flagged!A60</f>
        <v>2020</v>
      </c>
      <c r="B67" s="376" t="str">
        <f>LEFT(report_47_flagged!B60,2)</f>
        <v>47</v>
      </c>
      <c r="C67" s="376">
        <f>report_47_flagged!E60</f>
        <v>3800</v>
      </c>
      <c r="D67" s="151">
        <f>report_47_flagged!AM60</f>
        <v>3854.6</v>
      </c>
      <c r="E67" s="376" t="str">
        <f>report_47_flagged!D60</f>
        <v>McLane-PARFLUX-Mark78H-21 ; frame # 12993-01, controller # 12993-01 and motor # 12993-01 Cup set ACx21</v>
      </c>
      <c r="F67" s="376"/>
      <c r="G67" s="376"/>
      <c r="H67" s="376">
        <f>report_47_flagged!C60</f>
        <v>13</v>
      </c>
      <c r="I67" s="376">
        <f>report_47_flagged!F60</f>
        <v>1</v>
      </c>
      <c r="J67" s="139">
        <f>report_47_flagged!AC60</f>
        <v>44202</v>
      </c>
      <c r="K67" s="139">
        <f>report_47_flagged!AD60</f>
        <v>44212</v>
      </c>
      <c r="L67" s="139">
        <f>report_47_flagged!AE60</f>
        <v>44207</v>
      </c>
      <c r="M67" s="151">
        <f>report_47_flagged!AF60</f>
        <v>10</v>
      </c>
      <c r="N67" s="125">
        <f>report_47_flagged!H60</f>
        <v>105.95714285714287</v>
      </c>
      <c r="O67" s="125">
        <f t="shared" si="0"/>
        <v>6.3574285714285722E-2</v>
      </c>
      <c r="P67" s="125">
        <f>report_47_flagged!J60</f>
        <v>1</v>
      </c>
      <c r="Q67" s="475">
        <f>report_47_flagged!BA60</f>
        <v>40.24</v>
      </c>
      <c r="R67" s="475">
        <f t="shared" si="1"/>
        <v>0.88527999999999996</v>
      </c>
      <c r="S67" s="476">
        <f>report_47_flagged!BB60</f>
        <v>1</v>
      </c>
      <c r="T67" s="475">
        <f>report_47_flagged!BC60</f>
        <v>8.58</v>
      </c>
      <c r="U67" s="475">
        <f t="shared" si="2"/>
        <v>0.24882000000000001</v>
      </c>
      <c r="V67" s="476">
        <f>report_47_flagged!BD60</f>
        <v>1</v>
      </c>
      <c r="W67" s="155">
        <f>(report_47_flagged!N60/100)*report_47_flagged!H60</f>
        <v>13.448877246720452</v>
      </c>
      <c r="X67" s="155">
        <f t="shared" si="3"/>
        <v>0.28254167475568032</v>
      </c>
      <c r="Y67" s="151">
        <f>report_47_flagged!AP60</f>
        <v>1</v>
      </c>
      <c r="Z67" s="155">
        <f>(report_47_flagged!P60/100)*report_47_flagged!H60</f>
        <v>0.69155025902816236</v>
      </c>
      <c r="AA67" s="155">
        <f t="shared" si="4"/>
        <v>2.6282185403312345E-2</v>
      </c>
      <c r="AB67" s="151">
        <f>report_47_flagged!AR60</f>
        <v>1</v>
      </c>
      <c r="AC67" s="155">
        <f>(report_47_flagged!R60/100)*report_47_flagged!H60</f>
        <v>5.0350027677297424</v>
      </c>
      <c r="AD67" s="155">
        <f t="shared" si="5"/>
        <v>0.14101244165652113</v>
      </c>
      <c r="AE67" s="151">
        <f>report_47_flagged!AT60</f>
        <v>1</v>
      </c>
      <c r="AF67" s="155">
        <f>(report_47_flagged!L60/100)*report_47_flagged!H60</f>
        <v>8.4138744789907101</v>
      </c>
      <c r="AG67" s="155">
        <f t="shared" si="6"/>
        <v>0.15994330562813061</v>
      </c>
      <c r="AH67" s="151">
        <f>report_47_flagged!AV60</f>
        <v>1</v>
      </c>
      <c r="AI67" s="155">
        <f>(report_47_flagged!T60/100)*report_47_flagged!H60</f>
        <v>7.5242594978516406</v>
      </c>
      <c r="AJ67" s="155">
        <f t="shared" si="7"/>
        <v>0.36871635449566553</v>
      </c>
      <c r="AK67" s="151">
        <f>report_47_flagged!AX60</f>
        <v>1</v>
      </c>
    </row>
    <row r="68" spans="1:37" ht="15.75">
      <c r="A68" s="376">
        <f>report_47_flagged!A61</f>
        <v>2020</v>
      </c>
      <c r="B68" s="376" t="str">
        <f>LEFT(report_47_flagged!B61,2)</f>
        <v>47</v>
      </c>
      <c r="C68" s="376">
        <f>report_47_flagged!E61</f>
        <v>3800</v>
      </c>
      <c r="D68" s="151">
        <f>report_47_flagged!AM61</f>
        <v>3854.6</v>
      </c>
      <c r="E68" s="376" t="str">
        <f>report_47_flagged!D61</f>
        <v>McLane-PARFLUX-Mark78H-21 ; frame # 12993-01, controller # 12993-01 and motor # 12993-01 Cup set ACx21</v>
      </c>
      <c r="F68" s="376"/>
      <c r="G68" s="376"/>
      <c r="H68" s="376">
        <f>report_47_flagged!C61</f>
        <v>14</v>
      </c>
      <c r="I68" s="376">
        <f>report_47_flagged!F61</f>
        <v>1</v>
      </c>
      <c r="J68" s="139">
        <f>report_47_flagged!AC61</f>
        <v>44212</v>
      </c>
      <c r="K68" s="139">
        <f>report_47_flagged!AD61</f>
        <v>44222</v>
      </c>
      <c r="L68" s="139">
        <f>report_47_flagged!AE61</f>
        <v>44217</v>
      </c>
      <c r="M68" s="151">
        <f>report_47_flagged!AF61</f>
        <v>10</v>
      </c>
      <c r="N68" s="125">
        <f>report_47_flagged!H61</f>
        <v>114.78571428571429</v>
      </c>
      <c r="O68" s="125">
        <f t="shared" si="0"/>
        <v>6.887142857142857E-2</v>
      </c>
      <c r="P68" s="125">
        <f>report_47_flagged!J61</f>
        <v>1</v>
      </c>
      <c r="Q68" s="475">
        <f>report_47_flagged!BA61</f>
        <v>40.14</v>
      </c>
      <c r="R68" s="475">
        <f t="shared" si="1"/>
        <v>0.88307999999999998</v>
      </c>
      <c r="S68" s="476">
        <f>report_47_flagged!BB61</f>
        <v>1</v>
      </c>
      <c r="T68" s="475">
        <f>report_47_flagged!BC61</f>
        <v>8.56</v>
      </c>
      <c r="U68" s="475">
        <f t="shared" si="2"/>
        <v>0.24824000000000002</v>
      </c>
      <c r="V68" s="476">
        <f>report_47_flagged!BD61</f>
        <v>1</v>
      </c>
      <c r="W68" s="155">
        <f>(report_47_flagged!N61/100)*report_47_flagged!H61</f>
        <v>14.806509421212333</v>
      </c>
      <c r="X68" s="155">
        <f t="shared" si="3"/>
        <v>0.31106358489332181</v>
      </c>
      <c r="Y68" s="151">
        <f>report_47_flagged!AP61</f>
        <v>1</v>
      </c>
      <c r="Z68" s="155">
        <f>(report_47_flagged!P61/100)*report_47_flagged!H61</f>
        <v>0.80986590351377219</v>
      </c>
      <c r="AA68" s="155">
        <f t="shared" si="4"/>
        <v>3.0778740301365754E-2</v>
      </c>
      <c r="AB68" s="151">
        <f>report_47_flagged!AR61</f>
        <v>1</v>
      </c>
      <c r="AC68" s="155">
        <f>(report_47_flagged!R61/100)*report_47_flagged!H61</f>
        <v>5.7509693896508578</v>
      </c>
      <c r="AD68" s="155">
        <f t="shared" si="5"/>
        <v>0.16106410918463854</v>
      </c>
      <c r="AE68" s="151">
        <f>report_47_flagged!AT61</f>
        <v>1</v>
      </c>
      <c r="AF68" s="155">
        <f>(report_47_flagged!L61/100)*report_47_flagged!H61</f>
        <v>9.0555400315614758</v>
      </c>
      <c r="AG68" s="155">
        <f t="shared" si="6"/>
        <v>0.17214102854901975</v>
      </c>
      <c r="AH68" s="151">
        <f>report_47_flagged!AV61</f>
        <v>1</v>
      </c>
      <c r="AI68" s="155">
        <f>(report_47_flagged!T61/100)*report_47_flagged!H61</f>
        <v>8.3062410730614733</v>
      </c>
      <c r="AJ68" s="155">
        <f t="shared" si="7"/>
        <v>0.40703632415865665</v>
      </c>
      <c r="AK68" s="151">
        <f>report_47_flagged!AX61</f>
        <v>1</v>
      </c>
    </row>
    <row r="69" spans="1:37" ht="15.75">
      <c r="A69" s="376">
        <f>report_47_flagged!A62</f>
        <v>2020</v>
      </c>
      <c r="B69" s="376" t="str">
        <f>LEFT(report_47_flagged!B62,2)</f>
        <v>47</v>
      </c>
      <c r="C69" s="376">
        <f>report_47_flagged!E62</f>
        <v>3800</v>
      </c>
      <c r="D69" s="151">
        <f>report_47_flagged!AM62</f>
        <v>3854.6</v>
      </c>
      <c r="E69" s="376" t="str">
        <f>report_47_flagged!D62</f>
        <v>McLane-PARFLUX-Mark78H-21 ; frame # 12993-01, controller # 12993-01 and motor # 12993-01 Cup set ACx21</v>
      </c>
      <c r="F69" s="376"/>
      <c r="G69" s="376"/>
      <c r="H69" s="376">
        <f>report_47_flagged!C62</f>
        <v>15</v>
      </c>
      <c r="I69" s="376">
        <f>report_47_flagged!F62</f>
        <v>1</v>
      </c>
      <c r="J69" s="139">
        <f>report_47_flagged!AC62</f>
        <v>44222</v>
      </c>
      <c r="K69" s="139">
        <f>report_47_flagged!AD62</f>
        <v>44232</v>
      </c>
      <c r="L69" s="139">
        <f>report_47_flagged!AE62</f>
        <v>44227</v>
      </c>
      <c r="M69" s="151">
        <f>report_47_flagged!AF62</f>
        <v>10</v>
      </c>
      <c r="N69" s="125">
        <f>report_47_flagged!H62</f>
        <v>107.81428571428572</v>
      </c>
      <c r="O69" s="125">
        <f t="shared" si="0"/>
        <v>6.4688571428571429E-2</v>
      </c>
      <c r="P69" s="125">
        <f>report_47_flagged!J62</f>
        <v>1</v>
      </c>
      <c r="Q69" s="475">
        <f>report_47_flagged!BA62</f>
        <v>40.270000000000003</v>
      </c>
      <c r="R69" s="475">
        <f t="shared" si="1"/>
        <v>0.88594000000000006</v>
      </c>
      <c r="S69" s="476">
        <f>report_47_flagged!BB62</f>
        <v>1</v>
      </c>
      <c r="T69" s="475">
        <f>report_47_flagged!BC62</f>
        <v>8.6</v>
      </c>
      <c r="U69" s="475">
        <f t="shared" si="2"/>
        <v>0.24940000000000001</v>
      </c>
      <c r="V69" s="476">
        <f>report_47_flagged!BD62</f>
        <v>1</v>
      </c>
      <c r="W69" s="155">
        <f>(report_47_flagged!N62/100)*report_47_flagged!H62</f>
        <v>13.27264950806754</v>
      </c>
      <c r="X69" s="155">
        <f t="shared" si="3"/>
        <v>0.27883938202863928</v>
      </c>
      <c r="Y69" s="151">
        <f>report_47_flagged!AP62</f>
        <v>1</v>
      </c>
      <c r="Z69" s="155">
        <f>(report_47_flagged!P62/100)*report_47_flagged!H62</f>
        <v>0.62823430791071488</v>
      </c>
      <c r="AA69" s="155">
        <f t="shared" si="4"/>
        <v>2.387587936187675E-2</v>
      </c>
      <c r="AB69" s="151">
        <f>report_47_flagged!AR62</f>
        <v>1</v>
      </c>
      <c r="AC69" s="155">
        <f>(report_47_flagged!R62/100)*report_47_flagged!H62</f>
        <v>4.5402418281784298</v>
      </c>
      <c r="AD69" s="155">
        <f t="shared" si="5"/>
        <v>0.1271559551080812</v>
      </c>
      <c r="AE69" s="151">
        <f>report_47_flagged!AT62</f>
        <v>1</v>
      </c>
      <c r="AF69" s="155">
        <f>(report_47_flagged!L62/100)*report_47_flagged!H62</f>
        <v>8.7324076798891106</v>
      </c>
      <c r="AG69" s="155">
        <f t="shared" si="6"/>
        <v>0.16599845337620006</v>
      </c>
      <c r="AH69" s="151">
        <f>report_47_flagged!AV62</f>
        <v>1</v>
      </c>
      <c r="AI69" s="155">
        <f>(report_47_flagged!T62/100)*report_47_flagged!H62</f>
        <v>7.9816000971672763</v>
      </c>
      <c r="AJ69" s="155">
        <f t="shared" si="7"/>
        <v>0.39112772382585298</v>
      </c>
      <c r="AK69" s="151">
        <f>report_47_flagged!AX62</f>
        <v>1</v>
      </c>
    </row>
    <row r="70" spans="1:37" ht="15.75">
      <c r="A70" s="376">
        <f>report_47_flagged!A63</f>
        <v>2020</v>
      </c>
      <c r="B70" s="376" t="str">
        <f>LEFT(report_47_flagged!B63,2)</f>
        <v>47</v>
      </c>
      <c r="C70" s="376">
        <f>report_47_flagged!E63</f>
        <v>3800</v>
      </c>
      <c r="D70" s="151">
        <f>report_47_flagged!AM63</f>
        <v>3854.6</v>
      </c>
      <c r="E70" s="376" t="str">
        <f>report_47_flagged!D63</f>
        <v>McLane-PARFLUX-Mark78H-21 ; frame # 12993-01, controller # 12993-01 and motor # 12993-01 Cup set ACx21</v>
      </c>
      <c r="F70" s="376"/>
      <c r="G70" s="376"/>
      <c r="H70" s="376">
        <f>report_47_flagged!C63</f>
        <v>16</v>
      </c>
      <c r="I70" s="376">
        <f>report_47_flagged!F63</f>
        <v>1</v>
      </c>
      <c r="J70" s="139">
        <f>report_47_flagged!AC63</f>
        <v>44232</v>
      </c>
      <c r="K70" s="139">
        <f>report_47_flagged!AD63</f>
        <v>44242</v>
      </c>
      <c r="L70" s="139">
        <f>report_47_flagged!AE63</f>
        <v>44237</v>
      </c>
      <c r="M70" s="151">
        <f>report_47_flagged!AF63</f>
        <v>10</v>
      </c>
      <c r="N70" s="125">
        <f>report_47_flagged!H63</f>
        <v>86.665714285714287</v>
      </c>
      <c r="O70" s="125">
        <f t="shared" si="0"/>
        <v>5.1999428571428565E-2</v>
      </c>
      <c r="P70" s="125">
        <f>report_47_flagged!J63</f>
        <v>1</v>
      </c>
      <c r="Q70" s="475">
        <f>report_47_flagged!BA63</f>
        <v>40.270000000000003</v>
      </c>
      <c r="R70" s="475">
        <f t="shared" si="1"/>
        <v>0.88594000000000006</v>
      </c>
      <c r="S70" s="476">
        <f>report_47_flagged!BB63</f>
        <v>1</v>
      </c>
      <c r="T70" s="475">
        <f>report_47_flagged!BC63</f>
        <v>8.57</v>
      </c>
      <c r="U70" s="475">
        <f t="shared" si="2"/>
        <v>0.24853000000000003</v>
      </c>
      <c r="V70" s="476">
        <f>report_47_flagged!BD63</f>
        <v>1</v>
      </c>
      <c r="W70" s="155">
        <f>(report_47_flagged!N63/100)*report_47_flagged!H63</f>
        <v>10.680812701198032</v>
      </c>
      <c r="X70" s="155">
        <f t="shared" si="3"/>
        <v>0.22438859787229651</v>
      </c>
      <c r="Y70" s="151">
        <f>report_47_flagged!AP63</f>
        <v>1</v>
      </c>
      <c r="Z70" s="155">
        <f>(report_47_flagged!P63/100)*report_47_flagged!H63</f>
        <v>0.4051644365608692</v>
      </c>
      <c r="AA70" s="155">
        <f t="shared" si="4"/>
        <v>1.5398167669672867E-2</v>
      </c>
      <c r="AB70" s="151">
        <f>report_47_flagged!AR63</f>
        <v>1</v>
      </c>
      <c r="AC70" s="155">
        <f>(report_47_flagged!R63/100)*report_47_flagged!H63</f>
        <v>2.9557814869295429</v>
      </c>
      <c r="AD70" s="155">
        <f t="shared" si="5"/>
        <v>8.2780880905654664E-2</v>
      </c>
      <c r="AE70" s="151">
        <f>report_47_flagged!AT63</f>
        <v>1</v>
      </c>
      <c r="AF70" s="155">
        <f>(report_47_flagged!L63/100)*report_47_flagged!H63</f>
        <v>7.7250312142684905</v>
      </c>
      <c r="AG70" s="155">
        <f t="shared" si="6"/>
        <v>0.14684875934098876</v>
      </c>
      <c r="AH70" s="151">
        <f>report_47_flagged!AV63</f>
        <v>1</v>
      </c>
      <c r="AI70" s="155">
        <f>(report_47_flagged!T63/100)*report_47_flagged!H63</f>
        <v>4.6844635714039713</v>
      </c>
      <c r="AJ70" s="155">
        <f t="shared" si="7"/>
        <v>0.22955592258733057</v>
      </c>
      <c r="AK70" s="151">
        <f>report_47_flagged!AX63</f>
        <v>1</v>
      </c>
    </row>
    <row r="71" spans="1:37" ht="15.75">
      <c r="A71" s="376">
        <f>report_47_flagged!A64</f>
        <v>2020</v>
      </c>
      <c r="B71" s="376" t="str">
        <f>LEFT(report_47_flagged!B64,2)</f>
        <v>47</v>
      </c>
      <c r="C71" s="376">
        <f>report_47_flagged!E64</f>
        <v>3800</v>
      </c>
      <c r="D71" s="151">
        <f>report_47_flagged!AM64</f>
        <v>3854.6</v>
      </c>
      <c r="E71" s="376" t="str">
        <f>report_47_flagged!D64</f>
        <v>McLane-PARFLUX-Mark78H-21 ; frame # 12993-01, controller # 12993-01 and motor # 12993-01 Cup set ACx21</v>
      </c>
      <c r="F71" s="376"/>
      <c r="G71" s="376"/>
      <c r="H71" s="376">
        <f>report_47_flagged!C64</f>
        <v>17</v>
      </c>
      <c r="I71" s="376">
        <f>report_47_flagged!F64</f>
        <v>1</v>
      </c>
      <c r="J71" s="139">
        <f>report_47_flagged!AC64</f>
        <v>44242</v>
      </c>
      <c r="K71" s="139">
        <f>report_47_flagged!AD64</f>
        <v>44252</v>
      </c>
      <c r="L71" s="139">
        <f>report_47_flagged!AE64</f>
        <v>44247</v>
      </c>
      <c r="M71" s="151">
        <f>report_47_flagged!AF64</f>
        <v>10</v>
      </c>
      <c r="N71" s="125">
        <f>report_47_flagged!H64</f>
        <v>56.002857142857138</v>
      </c>
      <c r="O71" s="125">
        <f t="shared" si="0"/>
        <v>3.3601714285714283E-2</v>
      </c>
      <c r="P71" s="125">
        <f>report_47_flagged!J64</f>
        <v>1</v>
      </c>
      <c r="Q71" s="475">
        <f>report_47_flagged!BA64</f>
        <v>40.369999999999997</v>
      </c>
      <c r="R71" s="475">
        <f t="shared" si="1"/>
        <v>0.88813999999999993</v>
      </c>
      <c r="S71" s="476">
        <f>report_47_flagged!BB64</f>
        <v>1</v>
      </c>
      <c r="T71" s="475">
        <f>report_47_flagged!BC64</f>
        <v>8.5299999999999994</v>
      </c>
      <c r="U71" s="475">
        <f t="shared" si="2"/>
        <v>0.24737000000000001</v>
      </c>
      <c r="V71" s="476">
        <f>report_47_flagged!BD64</f>
        <v>1</v>
      </c>
      <c r="W71" s="155">
        <f>(report_47_flagged!N64/100)*report_47_flagged!H64</f>
        <v>7.05422013557979</v>
      </c>
      <c r="X71" s="155">
        <f t="shared" si="3"/>
        <v>0.14819907525648521</v>
      </c>
      <c r="Y71" s="151">
        <f>report_47_flagged!AP64</f>
        <v>1</v>
      </c>
      <c r="Z71" s="155">
        <f>(report_47_flagged!P64/100)*report_47_flagged!H64</f>
        <v>0.30235755914109091</v>
      </c>
      <c r="AA71" s="155">
        <f t="shared" si="4"/>
        <v>1.1491019378123773E-2</v>
      </c>
      <c r="AB71" s="151">
        <f>report_47_flagged!AR64</f>
        <v>1</v>
      </c>
      <c r="AC71" s="155">
        <f>(report_47_flagged!R64/100)*report_47_flagged!H64</f>
        <v>2.0681888308731176</v>
      </c>
      <c r="AD71" s="155">
        <f t="shared" si="5"/>
        <v>5.7922581238155565E-2</v>
      </c>
      <c r="AE71" s="151">
        <f>report_47_flagged!AT64</f>
        <v>1</v>
      </c>
      <c r="AF71" s="155">
        <f>(report_47_flagged!L64/100)*report_47_flagged!H64</f>
        <v>4.9860313047066729</v>
      </c>
      <c r="AG71" s="155">
        <f t="shared" si="6"/>
        <v>9.4781819105030016E-2</v>
      </c>
      <c r="AH71" s="151">
        <f>report_47_flagged!AV64</f>
        <v>1</v>
      </c>
      <c r="AI71" s="155">
        <f>(report_47_flagged!T64/100)*report_47_flagged!H64</f>
        <v>2.8365881051503843</v>
      </c>
      <c r="AJ71" s="155">
        <f t="shared" si="7"/>
        <v>0.13900323688137631</v>
      </c>
      <c r="AK71" s="151">
        <f>report_47_flagged!AX64</f>
        <v>1</v>
      </c>
    </row>
    <row r="72" spans="1:37" ht="15.75">
      <c r="A72" s="376">
        <f>report_47_flagged!A65</f>
        <v>2020</v>
      </c>
      <c r="B72" s="376" t="str">
        <f>LEFT(report_47_flagged!B65,2)</f>
        <v>47</v>
      </c>
      <c r="C72" s="376">
        <f>report_47_flagged!E65</f>
        <v>3800</v>
      </c>
      <c r="D72" s="151">
        <f>report_47_flagged!AM65</f>
        <v>3854.6</v>
      </c>
      <c r="E72" s="376" t="str">
        <f>report_47_flagged!D65</f>
        <v>McLane-PARFLUX-Mark78H-21 ; frame # 12993-01, controller # 12993-01 and motor # 12993-01 Cup set ACx21</v>
      </c>
      <c r="F72" s="376"/>
      <c r="G72" s="376"/>
      <c r="H72" s="376">
        <f>report_47_flagged!C65</f>
        <v>18</v>
      </c>
      <c r="I72" s="376">
        <f>report_47_flagged!F65</f>
        <v>1</v>
      </c>
      <c r="J72" s="139">
        <f>report_47_flagged!AC65</f>
        <v>44252</v>
      </c>
      <c r="K72" s="139">
        <f>report_47_flagged!AD65</f>
        <v>44262</v>
      </c>
      <c r="L72" s="139">
        <f>report_47_flagged!AE65</f>
        <v>44257</v>
      </c>
      <c r="M72" s="151">
        <f>report_47_flagged!AF65</f>
        <v>10</v>
      </c>
      <c r="N72" s="125">
        <f>report_47_flagged!H65</f>
        <v>70.377142857142857</v>
      </c>
      <c r="O72" s="125">
        <f t="shared" si="0"/>
        <v>4.2226285714285709E-2</v>
      </c>
      <c r="P72" s="125">
        <f>report_47_flagged!J65</f>
        <v>1</v>
      </c>
      <c r="Q72" s="475">
        <f>report_47_flagged!BA65</f>
        <v>40.200000000000003</v>
      </c>
      <c r="R72" s="475">
        <f t="shared" si="1"/>
        <v>0.88439999999999996</v>
      </c>
      <c r="S72" s="476">
        <f>report_47_flagged!BB65</f>
        <v>1</v>
      </c>
      <c r="T72" s="475">
        <f>report_47_flagged!BC65</f>
        <v>8.61</v>
      </c>
      <c r="U72" s="475">
        <f t="shared" si="2"/>
        <v>0.24969</v>
      </c>
      <c r="V72" s="476">
        <f>report_47_flagged!BD65</f>
        <v>1</v>
      </c>
      <c r="W72" s="155">
        <f>(report_47_flagged!N65/100)*report_47_flagged!H65</f>
        <v>9.0943296617780405</v>
      </c>
      <c r="X72" s="155">
        <f t="shared" si="3"/>
        <v>0.19105885839248135</v>
      </c>
      <c r="Y72" s="151">
        <f>report_47_flagged!AP65</f>
        <v>1</v>
      </c>
      <c r="Z72" s="155">
        <f>(report_47_flagged!P65/100)*report_47_flagged!H65</f>
        <v>0.40531603112901959</v>
      </c>
      <c r="AA72" s="155">
        <f t="shared" si="4"/>
        <v>1.5403928981297365E-2</v>
      </c>
      <c r="AB72" s="151">
        <f>report_47_flagged!AR65</f>
        <v>1</v>
      </c>
      <c r="AC72" s="155">
        <f>(report_47_flagged!R65/100)*report_47_flagged!H65</f>
        <v>2.8590668341184884</v>
      </c>
      <c r="AD72" s="155">
        <f t="shared" si="5"/>
        <v>8.0072248961247844E-2</v>
      </c>
      <c r="AE72" s="151">
        <f>report_47_flagged!AT65</f>
        <v>1</v>
      </c>
      <c r="AF72" s="155">
        <f>(report_47_flagged!L65/100)*report_47_flagged!H65</f>
        <v>6.235262827659553</v>
      </c>
      <c r="AG72" s="155">
        <f t="shared" si="6"/>
        <v>0.11852904991704891</v>
      </c>
      <c r="AH72" s="151">
        <f>report_47_flagged!AV65</f>
        <v>1</v>
      </c>
      <c r="AI72" s="155">
        <f>(report_47_flagged!T65/100)*report_47_flagged!H65</f>
        <v>3.4286992898913948</v>
      </c>
      <c r="AJ72" s="155">
        <f t="shared" si="7"/>
        <v>0.16801885995447088</v>
      </c>
      <c r="AK72" s="151">
        <f>report_47_flagged!AX65</f>
        <v>1</v>
      </c>
    </row>
    <row r="73" spans="1:37" ht="15.75">
      <c r="A73" s="376">
        <f>report_47_flagged!A66</f>
        <v>2020</v>
      </c>
      <c r="B73" s="376" t="str">
        <f>LEFT(report_47_flagged!B66,2)</f>
        <v>47</v>
      </c>
      <c r="C73" s="376">
        <f>report_47_flagged!E66</f>
        <v>3800</v>
      </c>
      <c r="D73" s="151">
        <f>report_47_flagged!AM66</f>
        <v>3854.6</v>
      </c>
      <c r="E73" s="376" t="str">
        <f>report_47_flagged!D66</f>
        <v>McLane-PARFLUX-Mark78H-21 ; frame # 12993-01, controller # 12993-01 and motor # 12993-01 Cup set ACx21</v>
      </c>
      <c r="F73" s="376"/>
      <c r="G73" s="376"/>
      <c r="H73" s="376">
        <f>report_47_flagged!C66</f>
        <v>19</v>
      </c>
      <c r="I73" s="376">
        <f>report_47_flagged!F66</f>
        <v>1</v>
      </c>
      <c r="J73" s="139">
        <f>report_47_flagged!AC66</f>
        <v>44262</v>
      </c>
      <c r="K73" s="139">
        <f>report_47_flagged!AD66</f>
        <v>44272</v>
      </c>
      <c r="L73" s="139">
        <f>report_47_flagged!AE66</f>
        <v>44267</v>
      </c>
      <c r="M73" s="151">
        <f>report_47_flagged!AF66</f>
        <v>10</v>
      </c>
      <c r="N73" s="125">
        <f>report_47_flagged!H66</f>
        <v>48.477142857142852</v>
      </c>
      <c r="O73" s="125">
        <f>N73*$N$5</f>
        <v>2.9086285714285707E-2</v>
      </c>
      <c r="P73" s="125">
        <f>report_47_flagged!J66</f>
        <v>1</v>
      </c>
      <c r="Q73" s="475">
        <f>report_47_flagged!BA66</f>
        <v>40.229999999999997</v>
      </c>
      <c r="R73" s="475">
        <f>Q73*$Q$5</f>
        <v>0.88505999999999985</v>
      </c>
      <c r="S73" s="476">
        <f>report_47_flagged!BB66</f>
        <v>1</v>
      </c>
      <c r="T73" s="475">
        <f>report_47_flagged!BC66</f>
        <v>8.59</v>
      </c>
      <c r="U73" s="475">
        <f>T73*$T$5</f>
        <v>0.24911</v>
      </c>
      <c r="V73" s="476">
        <f>report_47_flagged!BD66</f>
        <v>1</v>
      </c>
      <c r="W73" s="155">
        <f>(report_47_flagged!N66/100)*report_47_flagged!H66</f>
        <v>6.0421590639931813</v>
      </c>
      <c r="X73" s="155">
        <f>W73*SQRT(($W$5)^2+($N$5)^2)</f>
        <v>0.12693711971362839</v>
      </c>
      <c r="Y73" s="151">
        <f>report_47_flagged!AP66</f>
        <v>1</v>
      </c>
      <c r="Z73" s="155">
        <f>(report_47_flagged!P66/100)*report_47_flagged!H66</f>
        <v>0.23268041299751824</v>
      </c>
      <c r="AA73" s="155">
        <f>Z73*SQRT(($Z$5)^2+($N$5)^2)</f>
        <v>8.8429577955967814E-3</v>
      </c>
      <c r="AB73" s="151">
        <f>report_47_flagged!AR66</f>
        <v>1</v>
      </c>
      <c r="AC73" s="155">
        <f>(report_47_flagged!R66/100)*report_47_flagged!H66</f>
        <v>1.7407234438521071</v>
      </c>
      <c r="AD73" s="155">
        <f>AC73*SQRT(($AC$5)^2+($N$5)^2)</f>
        <v>4.8751445508541817E-2</v>
      </c>
      <c r="AE73" s="151">
        <f>report_47_flagged!AT66</f>
        <v>1</v>
      </c>
      <c r="AF73" s="155">
        <f>(report_47_flagged!L66/100)*report_47_flagged!H66</f>
        <v>4.3014356201410742</v>
      </c>
      <c r="AG73" s="155">
        <f>AF73*SQRT(($AF$5)^2+($N$5)^2)</f>
        <v>8.1768017071069857E-2</v>
      </c>
      <c r="AH73" s="151">
        <f>report_47_flagged!AV66</f>
        <v>1</v>
      </c>
      <c r="AI73" s="155">
        <f>(report_47_flagged!T66/100)*report_47_flagged!H66</f>
        <v>2.2692377533405304</v>
      </c>
      <c r="AJ73" s="155">
        <f>AI73*SQRT(($AI$5)^2+($N$5)^2)</f>
        <v>0.11120098557666097</v>
      </c>
      <c r="AK73" s="151">
        <f>report_47_flagged!AX66</f>
        <v>1</v>
      </c>
    </row>
    <row r="74" spans="1:37" ht="15.75">
      <c r="A74" s="376">
        <f>report_47_flagged!A67</f>
        <v>2020</v>
      </c>
      <c r="B74" s="376" t="str">
        <f>LEFT(report_47_flagged!B67,2)</f>
        <v>47</v>
      </c>
      <c r="C74" s="376">
        <f>report_47_flagged!E67</f>
        <v>3800</v>
      </c>
      <c r="D74" s="151">
        <f>report_47_flagged!AM67</f>
        <v>3854.6</v>
      </c>
      <c r="E74" s="376" t="str">
        <f>report_47_flagged!D67</f>
        <v>McLane-PARFLUX-Mark78H-21 ; frame # 12993-01, controller # 12993-01 and motor # 12993-01 Cup set ACx21</v>
      </c>
      <c r="F74" s="376"/>
      <c r="G74" s="376"/>
      <c r="H74" s="376">
        <f>report_47_flagged!C67</f>
        <v>20</v>
      </c>
      <c r="I74" s="376">
        <f>report_47_flagged!F67</f>
        <v>1</v>
      </c>
      <c r="J74" s="139">
        <f>report_47_flagged!AC67</f>
        <v>44272</v>
      </c>
      <c r="K74" s="139">
        <f>report_47_flagged!AD67</f>
        <v>44282</v>
      </c>
      <c r="L74" s="139">
        <f>report_47_flagged!AE67</f>
        <v>44277</v>
      </c>
      <c r="M74" s="151">
        <f>report_47_flagged!AF67</f>
        <v>10</v>
      </c>
      <c r="N74" s="125">
        <f>report_47_flagged!H67</f>
        <v>50.297142857142852</v>
      </c>
      <c r="O74" s="125">
        <f t="shared" si="0"/>
        <v>3.017828571428571E-2</v>
      </c>
      <c r="P74" s="125">
        <f>report_47_flagged!J67</f>
        <v>1</v>
      </c>
      <c r="Q74" s="475">
        <f>report_47_flagged!BA67</f>
        <v>40.47</v>
      </c>
      <c r="R74" s="475">
        <f t="shared" si="1"/>
        <v>0.89033999999999991</v>
      </c>
      <c r="S74" s="476">
        <f>report_47_flagged!BB67</f>
        <v>1</v>
      </c>
      <c r="T74" s="475">
        <f>report_47_flagged!BC67</f>
        <v>8.5500000000000007</v>
      </c>
      <c r="U74" s="475">
        <f t="shared" si="2"/>
        <v>0.24795000000000003</v>
      </c>
      <c r="V74" s="476">
        <f>report_47_flagged!BD67</f>
        <v>1</v>
      </c>
      <c r="W74" s="155">
        <f>(report_47_flagged!N67/100)*report_47_flagged!H67</f>
        <v>6.408572992924281</v>
      </c>
      <c r="X74" s="155">
        <f t="shared" si="3"/>
        <v>0.13463495227130506</v>
      </c>
      <c r="Y74" s="151">
        <f>report_47_flagged!AP67</f>
        <v>1</v>
      </c>
      <c r="Z74" s="155">
        <f>(report_47_flagged!P67/100)*report_47_flagged!H67</f>
        <v>0.28181758583613803</v>
      </c>
      <c r="AA74" s="155">
        <f t="shared" si="4"/>
        <v>1.0710403103988485E-2</v>
      </c>
      <c r="AB74" s="151">
        <f>report_47_flagged!AR67</f>
        <v>1</v>
      </c>
      <c r="AC74" s="155">
        <f>(report_47_flagged!R67/100)*report_47_flagged!H67</f>
        <v>1.9648069012023026</v>
      </c>
      <c r="AD74" s="155">
        <f t="shared" si="5"/>
        <v>5.5027222685529079E-2</v>
      </c>
      <c r="AE74" s="151">
        <f>report_47_flagged!AT67</f>
        <v>1</v>
      </c>
      <c r="AF74" s="155">
        <f>(report_47_flagged!L67/100)*report_47_flagged!H67</f>
        <v>4.4437660917219786</v>
      </c>
      <c r="AG74" s="155">
        <f t="shared" si="6"/>
        <v>8.4473644089051142E-2</v>
      </c>
      <c r="AH74" s="151">
        <f>report_47_flagged!AV67</f>
        <v>1</v>
      </c>
      <c r="AI74" s="155">
        <f>(report_47_flagged!T67/100)*report_47_flagged!H67</f>
        <v>2.3922369398424759</v>
      </c>
      <c r="AJ74" s="155">
        <f t="shared" si="7"/>
        <v>0.11722839753206719</v>
      </c>
      <c r="AK74" s="151">
        <f>report_47_flagged!AX67</f>
        <v>1</v>
      </c>
    </row>
    <row r="75" spans="1:37" ht="15.75">
      <c r="A75" s="376">
        <f>report_47_flagged!A68</f>
        <v>2020</v>
      </c>
      <c r="B75" s="376" t="str">
        <f>LEFT(report_47_flagged!B68,2)</f>
        <v>47</v>
      </c>
      <c r="C75" s="376">
        <f>report_47_flagged!E68</f>
        <v>3800</v>
      </c>
      <c r="D75" s="151">
        <f>report_47_flagged!AM68</f>
        <v>3854.6</v>
      </c>
      <c r="E75" s="376" t="str">
        <f>report_47_flagged!D68</f>
        <v>McLane-PARFLUX-Mark78H-21 ; frame # 12993-01, controller # 12993-01 and motor # 12993-01 Cup set ACx21</v>
      </c>
      <c r="F75" s="376"/>
      <c r="G75" s="376"/>
      <c r="H75" s="376">
        <f>report_47_flagged!C68</f>
        <v>21</v>
      </c>
      <c r="I75" s="376">
        <f>report_47_flagged!F68</f>
        <v>1</v>
      </c>
      <c r="J75" s="139">
        <f>report_47_flagged!AC68</f>
        <v>44282</v>
      </c>
      <c r="K75" s="139">
        <f>report_47_flagged!AD68</f>
        <v>44292</v>
      </c>
      <c r="L75" s="139">
        <f>report_47_flagged!AE68</f>
        <v>44287</v>
      </c>
      <c r="M75" s="151">
        <f>report_47_flagged!AF68</f>
        <v>10</v>
      </c>
      <c r="N75" s="125">
        <f>report_47_flagged!H68</f>
        <v>66.908571428571435</v>
      </c>
      <c r="O75" s="125">
        <f t="shared" si="0"/>
        <v>4.0145142857142858E-2</v>
      </c>
      <c r="P75" s="125">
        <f>report_47_flagged!J68</f>
        <v>1</v>
      </c>
      <c r="Q75" s="475">
        <f>report_47_flagged!BA68</f>
        <v>40.450000000000003</v>
      </c>
      <c r="R75" s="475">
        <f t="shared" si="1"/>
        <v>0.88990000000000002</v>
      </c>
      <c r="S75" s="476">
        <f>report_47_flagged!BB68</f>
        <v>1</v>
      </c>
      <c r="T75" s="475">
        <f>report_47_flagged!BC68</f>
        <v>8.57</v>
      </c>
      <c r="U75" s="475">
        <f t="shared" si="2"/>
        <v>0.24853000000000003</v>
      </c>
      <c r="V75" s="476">
        <f>report_47_flagged!BD68</f>
        <v>1</v>
      </c>
      <c r="W75" s="155">
        <f>(report_47_flagged!N68/100)*report_47_flagged!H68</f>
        <v>8.7794598954881948</v>
      </c>
      <c r="X75" s="155">
        <f t="shared" si="3"/>
        <v>0.18444389496725141</v>
      </c>
      <c r="Y75" s="151">
        <f>report_47_flagged!AP68</f>
        <v>1</v>
      </c>
      <c r="Z75" s="155">
        <f>(report_47_flagged!P68/100)*report_47_flagged!H68</f>
        <v>0.37608713325772974</v>
      </c>
      <c r="AA75" s="155">
        <f t="shared" si="4"/>
        <v>1.4293092418142471E-2</v>
      </c>
      <c r="AB75" s="151">
        <f>report_47_flagged!AR68</f>
        <v>1</v>
      </c>
      <c r="AC75" s="155">
        <f>(report_47_flagged!R68/100)*report_47_flagged!H68</f>
        <v>2.855847093739976</v>
      </c>
      <c r="AD75" s="155">
        <f t="shared" si="5"/>
        <v>7.9982075534694039E-2</v>
      </c>
      <c r="AE75" s="151">
        <f>report_47_flagged!AT68</f>
        <v>1</v>
      </c>
      <c r="AF75" s="155">
        <f>(report_47_flagged!L68/100)*report_47_flagged!H68</f>
        <v>5.9236128017482192</v>
      </c>
      <c r="AG75" s="155">
        <f t="shared" si="6"/>
        <v>0.11260474768651092</v>
      </c>
      <c r="AH75" s="151">
        <f>report_47_flagged!AV68</f>
        <v>1</v>
      </c>
      <c r="AI75" s="155">
        <f>(report_47_flagged!T68/100)*report_47_flagged!H68</f>
        <v>2.555598731310412</v>
      </c>
      <c r="AJ75" s="155">
        <f t="shared" si="7"/>
        <v>0.1252337253960433</v>
      </c>
      <c r="AK75" s="151">
        <f>report_47_flagged!AX68</f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E268F-171B-4D8F-A755-83D284F21D68}">
  <dimension ref="A1:O5"/>
  <sheetViews>
    <sheetView workbookViewId="0">
      <selection activeCell="C2" sqref="C2"/>
    </sheetView>
  </sheetViews>
  <sheetFormatPr defaultRowHeight="15"/>
  <sheetData>
    <row r="1" spans="1:15">
      <c r="A1" s="376" t="s">
        <v>1729</v>
      </c>
      <c r="B1" s="376" t="s">
        <v>2295</v>
      </c>
      <c r="C1" s="376" t="s">
        <v>2296</v>
      </c>
    </row>
    <row r="2" spans="1:15" s="52" customFormat="1">
      <c r="A2" s="52" t="s">
        <v>167</v>
      </c>
      <c r="B2" s="52">
        <f>B5-223.9</f>
        <v>995.00000000000011</v>
      </c>
      <c r="C2" s="52">
        <f>C5-224</f>
        <v>994.8</v>
      </c>
      <c r="D2" s="602" t="s">
        <v>2396</v>
      </c>
      <c r="E2" s="602"/>
      <c r="F2" s="602"/>
      <c r="G2" s="602"/>
      <c r="H2" s="602"/>
      <c r="I2" s="602"/>
      <c r="J2" s="602"/>
      <c r="K2" s="602"/>
      <c r="L2" s="602"/>
      <c r="M2" s="602"/>
      <c r="N2" s="602"/>
      <c r="O2" s="602"/>
    </row>
    <row r="3" spans="1:15">
      <c r="A3" s="376" t="s">
        <v>760</v>
      </c>
      <c r="B3" s="376">
        <v>1992.1</v>
      </c>
      <c r="C3" s="376">
        <v>1992.3</v>
      </c>
    </row>
    <row r="4" spans="1:15">
      <c r="A4" s="376" t="s">
        <v>1329</v>
      </c>
      <c r="B4" s="376">
        <v>3854.6</v>
      </c>
      <c r="C4" s="376">
        <v>3854.2</v>
      </c>
    </row>
    <row r="5" spans="1:15">
      <c r="A5" t="s">
        <v>2395</v>
      </c>
      <c r="B5">
        <v>1218.9000000000001</v>
      </c>
      <c r="C5">
        <v>1218.8</v>
      </c>
      <c r="D5" t="s">
        <v>2394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7C247-8AA3-4DC7-8DE8-E0E9DBBE05D5}">
  <dimension ref="A1"/>
  <sheetViews>
    <sheetView topLeftCell="C22" zoomScale="70" zoomScaleNormal="70" workbookViewId="0">
      <selection activeCell="AB63" sqref="AB63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39"/>
  <sheetViews>
    <sheetView zoomScaleNormal="100" workbookViewId="0">
      <selection activeCell="G26" sqref="G26"/>
    </sheetView>
  </sheetViews>
  <sheetFormatPr defaultColWidth="8.85546875" defaultRowHeight="15"/>
  <cols>
    <col min="1" max="1" width="194" style="28" bestFit="1" customWidth="1"/>
    <col min="2" max="2" width="40.28515625" style="28" customWidth="1"/>
    <col min="3" max="3" width="50.5703125" style="28" customWidth="1"/>
    <col min="4" max="4" width="17.28515625" style="28" customWidth="1"/>
    <col min="5" max="5" width="63.85546875" style="28" bestFit="1" customWidth="1"/>
    <col min="6" max="6" width="15" style="28" bestFit="1" customWidth="1"/>
    <col min="7" max="7" width="13.140625" style="28" customWidth="1"/>
    <col min="8" max="8" width="8.85546875" style="28"/>
    <col min="9" max="10" width="9.7109375" style="28" bestFit="1" customWidth="1"/>
    <col min="11" max="15" width="8.85546875" style="28"/>
    <col min="16" max="16" width="15" style="28" bestFit="1" customWidth="1"/>
    <col min="17" max="21" width="8.85546875" style="28"/>
    <col min="22" max="22" width="12.42578125" style="28" customWidth="1"/>
    <col min="23" max="16384" width="8.85546875" style="28"/>
  </cols>
  <sheetData>
    <row r="1" spans="1:24">
      <c r="A1" s="64"/>
      <c r="D1" s="87" t="s">
        <v>0</v>
      </c>
      <c r="E1" s="87"/>
      <c r="F1" s="87"/>
      <c r="G1" s="87"/>
      <c r="H1" s="87"/>
      <c r="I1" s="57"/>
      <c r="J1" s="57"/>
      <c r="K1" s="57"/>
      <c r="L1" s="57"/>
      <c r="M1" s="87" t="s">
        <v>51</v>
      </c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</row>
    <row r="2" spans="1:24" ht="18.75">
      <c r="A2" s="1" t="s">
        <v>54</v>
      </c>
      <c r="D2" s="87" t="s">
        <v>71</v>
      </c>
      <c r="E2" s="87"/>
      <c r="F2" s="87"/>
      <c r="G2" s="87"/>
      <c r="H2" s="87"/>
      <c r="I2" s="87" t="s">
        <v>50</v>
      </c>
      <c r="J2" s="87"/>
      <c r="K2" s="87"/>
      <c r="L2" s="57"/>
      <c r="M2" s="87" t="s">
        <v>87</v>
      </c>
      <c r="N2" s="45"/>
      <c r="O2" s="45"/>
      <c r="P2" s="45"/>
      <c r="Q2" s="45"/>
      <c r="R2" s="45"/>
      <c r="S2" s="45"/>
      <c r="T2" s="87" t="s">
        <v>74</v>
      </c>
      <c r="U2" s="87"/>
      <c r="V2" s="87"/>
      <c r="W2" s="57"/>
      <c r="X2" s="57"/>
    </row>
    <row r="3" spans="1:24">
      <c r="D3" s="87"/>
      <c r="E3" s="87"/>
      <c r="F3" s="87"/>
      <c r="G3" s="87"/>
      <c r="H3" s="87"/>
      <c r="I3" s="87"/>
      <c r="J3" s="87"/>
      <c r="K3" s="87"/>
      <c r="L3" s="57"/>
      <c r="M3" s="87" t="s">
        <v>73</v>
      </c>
      <c r="N3" s="57"/>
      <c r="O3" s="57"/>
      <c r="P3" s="57"/>
      <c r="Q3" s="57"/>
      <c r="R3" s="57"/>
      <c r="S3" s="57"/>
      <c r="T3" s="87" t="s">
        <v>75</v>
      </c>
      <c r="U3" s="87"/>
      <c r="V3" s="87" t="s">
        <v>78</v>
      </c>
      <c r="W3" s="87" t="s">
        <v>79</v>
      </c>
      <c r="X3" s="57"/>
    </row>
    <row r="4" spans="1:24">
      <c r="A4" s="52" t="s">
        <v>16</v>
      </c>
      <c r="B4" s="58"/>
      <c r="D4" s="87"/>
      <c r="E4" s="87">
        <v>8.6460000000000008</v>
      </c>
      <c r="F4" s="87"/>
      <c r="G4" s="88">
        <v>43913</v>
      </c>
      <c r="H4" s="87" t="s">
        <v>40</v>
      </c>
      <c r="I4" s="87">
        <v>9.18</v>
      </c>
      <c r="J4" s="87">
        <v>9.125</v>
      </c>
      <c r="K4" s="87"/>
      <c r="L4" s="57"/>
      <c r="M4" s="87" t="s">
        <v>85</v>
      </c>
      <c r="N4" s="87">
        <v>42.63</v>
      </c>
      <c r="O4" s="87" t="s">
        <v>84</v>
      </c>
      <c r="P4" s="88">
        <v>43913</v>
      </c>
      <c r="Q4" s="87" t="s">
        <v>40</v>
      </c>
      <c r="R4" s="57"/>
      <c r="S4" s="57"/>
      <c r="T4" s="87" t="s">
        <v>76</v>
      </c>
      <c r="U4" s="87"/>
      <c r="V4" s="87" t="s">
        <v>80</v>
      </c>
      <c r="W4" s="87" t="s">
        <v>81</v>
      </c>
      <c r="X4" s="57"/>
    </row>
    <row r="5" spans="1:24">
      <c r="A5" s="52" t="s">
        <v>1</v>
      </c>
      <c r="C5" s="52">
        <v>250</v>
      </c>
      <c r="D5" s="87"/>
      <c r="E5" s="87"/>
      <c r="F5" s="87"/>
      <c r="G5" s="87" t="s">
        <v>72</v>
      </c>
      <c r="H5" s="87"/>
      <c r="I5" s="57"/>
      <c r="J5" s="57"/>
      <c r="K5" s="57"/>
      <c r="L5" s="57"/>
      <c r="M5" s="87" t="s">
        <v>85</v>
      </c>
      <c r="N5" s="87">
        <v>42.38</v>
      </c>
      <c r="O5" s="87" t="s">
        <v>86</v>
      </c>
      <c r="P5" s="87" t="s">
        <v>72</v>
      </c>
      <c r="Q5" s="87"/>
      <c r="R5" s="57"/>
      <c r="S5" s="57"/>
      <c r="T5" s="87" t="s">
        <v>77</v>
      </c>
      <c r="U5" s="57"/>
      <c r="V5" s="87" t="s">
        <v>83</v>
      </c>
      <c r="W5" s="87" t="s">
        <v>82</v>
      </c>
      <c r="X5" s="57"/>
    </row>
    <row r="6" spans="1:24" ht="15.75">
      <c r="A6" s="2" t="s">
        <v>62</v>
      </c>
    </row>
    <row r="7" spans="1:24">
      <c r="B7" s="558" t="s">
        <v>41</v>
      </c>
      <c r="C7" s="64" t="s">
        <v>63</v>
      </c>
      <c r="D7" s="52"/>
      <c r="E7" s="560" t="s">
        <v>47</v>
      </c>
      <c r="F7" s="52"/>
      <c r="G7" s="52"/>
    </row>
    <row r="8" spans="1:24">
      <c r="A8" s="64" t="s">
        <v>42</v>
      </c>
      <c r="B8" s="559"/>
      <c r="C8" s="49" t="s">
        <v>64</v>
      </c>
      <c r="D8" s="3" t="s">
        <v>43</v>
      </c>
      <c r="E8" s="561"/>
      <c r="F8" s="72" t="s">
        <v>46</v>
      </c>
      <c r="G8" s="73"/>
    </row>
    <row r="9" spans="1:24" s="7" customFormat="1" ht="15.75">
      <c r="A9" s="4" t="s">
        <v>45</v>
      </c>
      <c r="B9" s="69">
        <v>40</v>
      </c>
      <c r="C9" s="46">
        <f>(180.4/24)*22</f>
        <v>165.36666666666667</v>
      </c>
      <c r="D9" s="5">
        <f>C9/22</f>
        <v>7.5166666666666666</v>
      </c>
      <c r="E9" s="50">
        <f>((((C9)/22)+34)*0.25)-((((C9)/22)+34)*0.25)*(10/250)</f>
        <v>9.9640000000000004</v>
      </c>
      <c r="F9" s="6">
        <f>E9*4</f>
        <v>39.856000000000002</v>
      </c>
      <c r="G9" s="2"/>
    </row>
    <row r="10" spans="1:24" s="7" customFormat="1" ht="15.75">
      <c r="A10" s="8" t="s">
        <v>3</v>
      </c>
      <c r="B10" s="8">
        <v>2</v>
      </c>
      <c r="C10" s="47">
        <f>(B10/100*4+B10)*22</f>
        <v>45.760000000000005</v>
      </c>
      <c r="D10" s="9">
        <f>C10/22</f>
        <v>2.08</v>
      </c>
      <c r="E10" s="50">
        <f>(((C10)/22)*0.25)-(((C10)/22)*0.25)*(10/250)</f>
        <v>0.49920000000000003</v>
      </c>
      <c r="F10" s="50">
        <f>E10*4</f>
        <v>1.9968000000000001</v>
      </c>
      <c r="G10" s="2" t="s">
        <v>4</v>
      </c>
    </row>
    <row r="11" spans="1:24" s="7" customFormat="1" ht="15.75">
      <c r="A11" s="8" t="s">
        <v>5</v>
      </c>
      <c r="B11" s="8">
        <v>0.22</v>
      </c>
      <c r="C11" s="47">
        <f>(B11/100*4+B11)*22</f>
        <v>5.0335999999999999</v>
      </c>
      <c r="D11" s="9">
        <f>C11/22</f>
        <v>0.2288</v>
      </c>
      <c r="E11" s="50">
        <f>(((C11)/22)*0.25)-(((C11)/22)*0.25)*(10/250)</f>
        <v>5.4912000000000002E-2</v>
      </c>
      <c r="F11" s="50">
        <f>E11*4</f>
        <v>0.21964800000000001</v>
      </c>
      <c r="G11" s="2"/>
    </row>
    <row r="12" spans="1:24" s="7" customFormat="1" ht="15.75">
      <c r="A12" s="8" t="s">
        <v>6</v>
      </c>
      <c r="B12" s="8">
        <v>3</v>
      </c>
      <c r="C12" s="48">
        <v>0</v>
      </c>
      <c r="D12" s="9">
        <f>C12/22</f>
        <v>0</v>
      </c>
      <c r="E12" s="50">
        <f>0.73</f>
        <v>0.73</v>
      </c>
      <c r="F12" s="50">
        <f>E12*4</f>
        <v>2.92</v>
      </c>
      <c r="G12" s="2"/>
    </row>
    <row r="13" spans="1:24" s="7" customFormat="1" ht="15.75">
      <c r="A13" s="8" t="s">
        <v>7</v>
      </c>
      <c r="B13" s="10" t="s">
        <v>8</v>
      </c>
      <c r="C13" s="47">
        <v>0</v>
      </c>
      <c r="D13" s="9"/>
      <c r="E13" s="50">
        <v>0</v>
      </c>
      <c r="F13" s="50"/>
      <c r="G13" s="2"/>
    </row>
    <row r="14" spans="1:24" s="7" customFormat="1" ht="15.75">
      <c r="A14" s="11"/>
      <c r="B14" s="11"/>
      <c r="C14" s="74"/>
      <c r="D14" s="12"/>
      <c r="E14" s="13"/>
      <c r="F14" s="14"/>
      <c r="G14" s="2"/>
    </row>
    <row r="15" spans="1:24" s="7" customFormat="1" ht="15.75">
      <c r="A15" s="2" t="s">
        <v>9</v>
      </c>
      <c r="B15" s="2"/>
      <c r="C15" s="15">
        <f>3/4</f>
        <v>0.75</v>
      </c>
      <c r="D15" s="15"/>
      <c r="E15" s="2" t="s">
        <v>10</v>
      </c>
    </row>
    <row r="16" spans="1:24" s="7" customFormat="1" ht="15.75">
      <c r="A16" s="16" t="s">
        <v>11</v>
      </c>
      <c r="B16" s="16">
        <f>10*21*3</f>
        <v>630</v>
      </c>
      <c r="C16" s="16">
        <f>B16*(7.3/100)</f>
        <v>45.989999999999995</v>
      </c>
      <c r="D16" s="16" t="s">
        <v>12</v>
      </c>
      <c r="E16" s="17"/>
    </row>
    <row r="17" spans="1:14" s="7" customFormat="1" ht="15.75">
      <c r="A17" s="16" t="s">
        <v>13</v>
      </c>
      <c r="B17" s="16">
        <f>0.25*3*21</f>
        <v>15.75</v>
      </c>
      <c r="C17" s="16" t="s">
        <v>44</v>
      </c>
      <c r="D17" s="16"/>
      <c r="E17" s="2"/>
    </row>
    <row r="18" spans="1:14" s="7" customFormat="1" ht="18.75">
      <c r="H18" s="27"/>
    </row>
    <row r="19" spans="1:14" s="7" customFormat="1" ht="15.75">
      <c r="A19" s="85" t="s">
        <v>60</v>
      </c>
      <c r="H19" s="28"/>
    </row>
    <row r="20" spans="1:14" s="7" customFormat="1" ht="15.75">
      <c r="A20" s="86" t="s">
        <v>59</v>
      </c>
      <c r="B20" s="18"/>
      <c r="C20" s="19"/>
      <c r="H20" s="28"/>
    </row>
    <row r="21" spans="1:14" s="7" customFormat="1" ht="15.75">
      <c r="A21" s="8" t="s">
        <v>66</v>
      </c>
      <c r="B21" s="59"/>
      <c r="C21" s="60"/>
      <c r="H21" s="28"/>
    </row>
    <row r="22" spans="1:14" s="7" customFormat="1" ht="15.75">
      <c r="A22" s="71"/>
      <c r="B22" s="81" t="s">
        <v>65</v>
      </c>
      <c r="C22" s="77" t="s">
        <v>14</v>
      </c>
    </row>
    <row r="23" spans="1:14" s="7" customFormat="1" ht="15.75">
      <c r="A23" s="20" t="s">
        <v>2</v>
      </c>
      <c r="B23" s="82">
        <v>165.9</v>
      </c>
      <c r="C23" s="78" t="s">
        <v>48</v>
      </c>
      <c r="D23" s="21"/>
      <c r="E23" s="22"/>
      <c r="F23" s="23"/>
      <c r="G23" s="85" t="s">
        <v>96</v>
      </c>
    </row>
    <row r="24" spans="1:14" s="7" customFormat="1" ht="15.75">
      <c r="A24" s="24" t="s">
        <v>3</v>
      </c>
      <c r="B24" s="83">
        <v>45.78</v>
      </c>
      <c r="C24" s="79" t="s">
        <v>49</v>
      </c>
      <c r="D24" s="25"/>
      <c r="E24" s="25"/>
      <c r="F24" s="25"/>
      <c r="G24" s="25"/>
    </row>
    <row r="25" spans="1:14" s="7" customFormat="1" ht="15.75">
      <c r="A25" s="26" t="s">
        <v>5</v>
      </c>
      <c r="B25" s="84">
        <v>5.03</v>
      </c>
      <c r="C25" s="80" t="s">
        <v>15</v>
      </c>
      <c r="D25" s="25"/>
      <c r="E25" s="25"/>
      <c r="F25" s="25"/>
      <c r="G25" s="25"/>
    </row>
    <row r="26" spans="1:14" s="7" customFormat="1" ht="15.75">
      <c r="A26" s="23"/>
      <c r="B26" s="23"/>
      <c r="C26" s="25"/>
      <c r="D26" s="25"/>
      <c r="E26" s="25"/>
      <c r="F26" s="25"/>
      <c r="G26" s="25"/>
      <c r="H26" s="53"/>
      <c r="I26" s="53"/>
      <c r="J26" s="53"/>
      <c r="K26" s="53"/>
      <c r="L26" s="53"/>
      <c r="M26" s="53"/>
      <c r="N26" s="53"/>
    </row>
    <row r="27" spans="1:14" s="27" customFormat="1" ht="18.75">
      <c r="A27" s="70" t="s">
        <v>55</v>
      </c>
      <c r="G27" s="75"/>
      <c r="H27" s="75"/>
      <c r="I27" s="75"/>
      <c r="J27" s="75"/>
      <c r="K27" s="75"/>
      <c r="L27" s="75"/>
      <c r="M27" s="75"/>
      <c r="N27" s="75"/>
    </row>
    <row r="28" spans="1:14" s="27" customFormat="1" ht="18.75">
      <c r="A28" s="70" t="s">
        <v>57</v>
      </c>
      <c r="G28" s="54"/>
      <c r="H28" s="75"/>
      <c r="I28" s="75"/>
      <c r="J28" s="75"/>
      <c r="K28" s="75"/>
      <c r="L28" s="75"/>
      <c r="M28" s="75"/>
      <c r="N28" s="75"/>
    </row>
    <row r="29" spans="1:14" ht="15.75">
      <c r="A29" s="29" t="s">
        <v>56</v>
      </c>
      <c r="G29" s="54"/>
      <c r="H29" s="54"/>
      <c r="I29" s="54"/>
      <c r="J29" s="54"/>
      <c r="K29" s="54"/>
      <c r="L29" s="54"/>
      <c r="M29" s="54"/>
      <c r="N29" s="54"/>
    </row>
    <row r="30" spans="1:14">
      <c r="A30" s="52" t="s">
        <v>17</v>
      </c>
      <c r="B30" s="52" t="s">
        <v>18</v>
      </c>
      <c r="C30" s="52" t="s">
        <v>19</v>
      </c>
      <c r="D30" s="52" t="s">
        <v>20</v>
      </c>
      <c r="E30" s="52" t="s">
        <v>21</v>
      </c>
      <c r="F30" s="52" t="s">
        <v>22</v>
      </c>
      <c r="G30" s="54"/>
      <c r="H30" s="54"/>
      <c r="I30" s="54"/>
      <c r="J30" s="54"/>
      <c r="K30" s="54"/>
      <c r="L30" s="54"/>
      <c r="M30" s="54"/>
      <c r="N30" s="54"/>
    </row>
    <row r="31" spans="1:14">
      <c r="A31" s="52" t="s">
        <v>58</v>
      </c>
      <c r="B31">
        <v>11.53</v>
      </c>
      <c r="C31">
        <v>1.06</v>
      </c>
      <c r="D31">
        <v>10.7</v>
      </c>
      <c r="E31">
        <v>0.36</v>
      </c>
      <c r="F31">
        <v>0.13600000000000001</v>
      </c>
      <c r="G31" s="54"/>
      <c r="H31" s="54"/>
      <c r="I31" s="54"/>
      <c r="J31" s="76"/>
      <c r="K31" s="54"/>
      <c r="L31" s="54"/>
      <c r="M31" s="54"/>
      <c r="N31" s="54"/>
    </row>
    <row r="32" spans="1:14">
      <c r="A32" s="52"/>
      <c r="G32" s="54"/>
      <c r="H32" s="54"/>
      <c r="I32" s="54"/>
      <c r="J32" s="54"/>
      <c r="K32" s="54"/>
      <c r="L32" s="54"/>
      <c r="M32" s="54"/>
      <c r="N32" s="54"/>
    </row>
    <row r="33" spans="1:14">
      <c r="A33" s="52"/>
      <c r="G33" s="54"/>
      <c r="H33" s="54"/>
      <c r="I33" s="54"/>
      <c r="J33" s="54"/>
      <c r="K33" s="54"/>
      <c r="L33" s="54"/>
      <c r="M33" s="54"/>
      <c r="N33" s="54"/>
    </row>
    <row r="34" spans="1:14">
      <c r="G34" s="54"/>
      <c r="H34" s="54"/>
      <c r="I34" s="54"/>
      <c r="J34" s="54"/>
      <c r="K34" s="54"/>
      <c r="L34" s="54"/>
      <c r="M34" s="54"/>
      <c r="N34" s="54"/>
    </row>
    <row r="35" spans="1:14">
      <c r="G35" s="54"/>
      <c r="H35" s="54"/>
      <c r="I35" s="54"/>
      <c r="J35" s="54"/>
      <c r="K35" s="54"/>
      <c r="L35" s="54"/>
      <c r="M35" s="54"/>
      <c r="N35" s="54"/>
    </row>
    <row r="36" spans="1:14">
      <c r="G36" s="54"/>
      <c r="H36" s="54"/>
      <c r="I36" s="54"/>
      <c r="J36" s="54"/>
      <c r="K36" s="54"/>
      <c r="L36" s="54"/>
      <c r="M36" s="54"/>
      <c r="N36" s="54"/>
    </row>
    <row r="37" spans="1:14">
      <c r="G37" s="54"/>
      <c r="H37" s="54"/>
      <c r="I37" s="54"/>
      <c r="J37" s="76"/>
      <c r="K37" s="54"/>
      <c r="L37" s="54"/>
      <c r="M37" s="54"/>
      <c r="N37" s="54"/>
    </row>
    <row r="38" spans="1:14">
      <c r="G38" s="54"/>
      <c r="H38" s="54"/>
      <c r="I38" s="54"/>
      <c r="J38" s="54"/>
      <c r="K38" s="54"/>
      <c r="L38" s="54"/>
      <c r="M38" s="54"/>
      <c r="N38" s="54"/>
    </row>
    <row r="39" spans="1:14">
      <c r="G39" s="54"/>
      <c r="H39" s="54"/>
      <c r="I39" s="54"/>
      <c r="J39" s="54"/>
      <c r="K39" s="54"/>
      <c r="L39" s="54"/>
      <c r="M39" s="54"/>
      <c r="N39" s="54"/>
    </row>
  </sheetData>
  <mergeCells count="2">
    <mergeCell ref="B7:B8"/>
    <mergeCell ref="E7:E8"/>
  </mergeCells>
  <pageMargins left="0.70866141732282995" right="0.70866141732282995" top="0.74803149606299002" bottom="0.74803149606299002" header="0.31496062992126" footer="0.31496062992126"/>
  <pageSetup paperSize="9" scale="45" orientation="landscape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615"/>
  <sheetViews>
    <sheetView topLeftCell="B115" workbookViewId="0">
      <selection activeCell="F141" sqref="F141"/>
    </sheetView>
  </sheetViews>
  <sheetFormatPr defaultColWidth="12.5703125" defaultRowHeight="15"/>
  <cols>
    <col min="1" max="1" width="18.28515625" customWidth="1"/>
    <col min="2" max="2" width="12.85546875" customWidth="1"/>
    <col min="7" max="7" width="43.140625" customWidth="1"/>
    <col min="13" max="13" width="40.85546875" bestFit="1" customWidth="1"/>
  </cols>
  <sheetData>
    <row r="1" spans="1:16">
      <c r="A1" t="s">
        <v>23</v>
      </c>
      <c r="B1" t="s">
        <v>24</v>
      </c>
    </row>
    <row r="2" spans="1:16" s="2" customFormat="1" ht="15.75">
      <c r="A2" s="17">
        <v>1000</v>
      </c>
      <c r="B2" s="17" t="s">
        <v>67</v>
      </c>
      <c r="C2" s="53"/>
      <c r="D2" s="53"/>
      <c r="E2" s="53"/>
      <c r="F2" s="53"/>
      <c r="G2" s="53"/>
      <c r="H2" s="89" t="s">
        <v>88</v>
      </c>
      <c r="I2" s="53"/>
      <c r="J2" s="17" t="s">
        <v>90</v>
      </c>
      <c r="K2" s="53"/>
      <c r="L2" s="53"/>
      <c r="M2" s="53"/>
      <c r="N2" s="53"/>
      <c r="O2" s="17" t="s">
        <v>39</v>
      </c>
    </row>
    <row r="3" spans="1:16" s="2" customFormat="1" ht="15.75">
      <c r="A3" s="17">
        <v>2000</v>
      </c>
      <c r="B3" s="17" t="s">
        <v>69</v>
      </c>
      <c r="C3" s="53"/>
      <c r="D3" s="53"/>
      <c r="E3" s="53"/>
      <c r="F3" s="53"/>
      <c r="G3" s="53"/>
      <c r="H3" s="89" t="s">
        <v>89</v>
      </c>
      <c r="I3" s="53"/>
      <c r="J3" s="17" t="s">
        <v>91</v>
      </c>
      <c r="K3" s="53"/>
      <c r="L3" s="53"/>
      <c r="M3" s="92" t="s">
        <v>94</v>
      </c>
      <c r="N3" s="53"/>
      <c r="O3" s="17" t="s">
        <v>39</v>
      </c>
    </row>
    <row r="4" spans="1:16" s="2" customFormat="1" ht="15.75">
      <c r="A4" s="17">
        <v>3800</v>
      </c>
      <c r="B4" s="17" t="s">
        <v>68</v>
      </c>
      <c r="C4" s="53"/>
      <c r="D4" s="53"/>
      <c r="E4" s="53"/>
      <c r="F4" s="53"/>
      <c r="G4" s="53"/>
      <c r="H4" s="17" t="s">
        <v>25</v>
      </c>
      <c r="I4" s="53"/>
      <c r="J4" s="17" t="s">
        <v>92</v>
      </c>
      <c r="K4" s="53"/>
      <c r="L4" s="53"/>
      <c r="M4" s="53"/>
      <c r="N4" s="53"/>
      <c r="O4" s="17"/>
    </row>
    <row r="5" spans="1:16" s="51" customFormat="1">
      <c r="J5" s="90" t="s">
        <v>93</v>
      </c>
    </row>
    <row r="6" spans="1:16" s="51" customFormat="1"/>
    <row r="7" spans="1:16" s="51" customFormat="1"/>
    <row r="8" spans="1:16" s="53" customFormat="1" ht="21.75" customHeight="1">
      <c r="A8" s="17" t="s">
        <v>26</v>
      </c>
      <c r="B8" s="17" t="s">
        <v>97</v>
      </c>
      <c r="K8" s="562" t="s">
        <v>151</v>
      </c>
      <c r="L8" s="562"/>
      <c r="M8" s="562"/>
      <c r="N8" s="562"/>
      <c r="O8" s="562"/>
      <c r="P8" s="562"/>
    </row>
    <row r="9" spans="1:16" s="53" customFormat="1" ht="15.75">
      <c r="B9" s="17" t="s">
        <v>95</v>
      </c>
      <c r="K9" s="562"/>
      <c r="L9" s="562"/>
      <c r="M9" s="562"/>
      <c r="N9" s="562"/>
      <c r="O9" s="562"/>
      <c r="P9" s="562"/>
    </row>
    <row r="10" spans="1:16" s="7" customFormat="1" ht="15.75">
      <c r="A10" s="30" t="s">
        <v>27</v>
      </c>
      <c r="B10" s="30" t="s">
        <v>28</v>
      </c>
      <c r="C10" s="30" t="s">
        <v>29</v>
      </c>
      <c r="D10" s="30"/>
      <c r="K10" s="562"/>
      <c r="L10" s="562"/>
      <c r="M10" s="562"/>
      <c r="N10" s="562"/>
      <c r="O10" s="562"/>
      <c r="P10" s="562"/>
    </row>
    <row r="11" spans="1:16" s="7" customFormat="1" ht="15.75">
      <c r="A11" s="30" t="s">
        <v>52</v>
      </c>
      <c r="B11" s="30" t="s">
        <v>53</v>
      </c>
      <c r="C11" s="31"/>
      <c r="D11" s="30"/>
      <c r="K11" s="562"/>
      <c r="L11" s="562"/>
      <c r="M11" s="562"/>
      <c r="N11" s="562"/>
      <c r="O11" s="562"/>
      <c r="P11" s="562"/>
    </row>
    <row r="12" spans="1:16" s="7" customFormat="1" ht="15.75">
      <c r="A12" s="30"/>
      <c r="B12" s="32"/>
      <c r="C12" s="32"/>
      <c r="D12" s="32"/>
      <c r="K12" s="562"/>
      <c r="L12" s="562"/>
      <c r="M12" s="562"/>
      <c r="N12" s="562"/>
      <c r="O12" s="562"/>
      <c r="P12" s="562"/>
    </row>
    <row r="13" spans="1:16" s="7" customFormat="1" ht="15.75">
      <c r="A13" s="62" t="s">
        <v>30</v>
      </c>
      <c r="B13" s="63" t="s">
        <v>31</v>
      </c>
      <c r="C13" s="55"/>
      <c r="D13" s="55"/>
      <c r="F13" s="1" t="s">
        <v>27</v>
      </c>
      <c r="G13" s="1" t="s">
        <v>32</v>
      </c>
      <c r="H13" s="31"/>
      <c r="I13" s="31"/>
      <c r="J13" s="2"/>
      <c r="L13" s="35"/>
      <c r="M13" s="36"/>
      <c r="N13" s="37"/>
      <c r="O13" s="37"/>
    </row>
    <row r="14" spans="1:16" s="7" customFormat="1" ht="15.75">
      <c r="A14" s="33" t="s">
        <v>70</v>
      </c>
      <c r="B14" s="61">
        <v>44077</v>
      </c>
      <c r="C14" s="33">
        <v>5</v>
      </c>
      <c r="D14" s="56"/>
      <c r="F14" s="1">
        <v>1</v>
      </c>
      <c r="G14" s="91">
        <f>B15</f>
        <v>44082</v>
      </c>
      <c r="H14" s="31">
        <f>C15</f>
        <v>10</v>
      </c>
      <c r="I14" s="31" t="s">
        <v>33</v>
      </c>
      <c r="J14" s="2"/>
      <c r="L14" s="38"/>
      <c r="M14" s="39"/>
      <c r="N14" s="38"/>
      <c r="O14" s="38"/>
    </row>
    <row r="15" spans="1:16" s="7" customFormat="1" ht="15.75">
      <c r="A15" s="33">
        <v>1</v>
      </c>
      <c r="B15" s="65">
        <f>B14+C14</f>
        <v>44082</v>
      </c>
      <c r="C15" s="33">
        <v>10</v>
      </c>
      <c r="D15" s="33" t="s">
        <v>33</v>
      </c>
      <c r="F15" s="1">
        <v>2</v>
      </c>
      <c r="G15" s="91">
        <f t="shared" ref="G15:G34" si="0">B16</f>
        <v>44092</v>
      </c>
      <c r="H15" s="31">
        <f t="shared" ref="H15:H34" si="1">C16</f>
        <v>10</v>
      </c>
      <c r="I15" s="91"/>
      <c r="J15" s="2"/>
      <c r="L15" s="38"/>
      <c r="M15" s="40"/>
      <c r="N15" s="38"/>
      <c r="O15" s="38"/>
    </row>
    <row r="16" spans="1:16" s="7" customFormat="1" ht="15.75">
      <c r="A16" s="33">
        <v>2</v>
      </c>
      <c r="B16" s="65">
        <f>B15+C15</f>
        <v>44092</v>
      </c>
      <c r="C16" s="33">
        <f>C15</f>
        <v>10</v>
      </c>
      <c r="D16" s="33"/>
      <c r="F16" s="1">
        <v>3</v>
      </c>
      <c r="G16" s="91">
        <f t="shared" si="0"/>
        <v>44102</v>
      </c>
      <c r="H16" s="31">
        <f t="shared" si="1"/>
        <v>10</v>
      </c>
      <c r="I16" s="91"/>
      <c r="J16" s="2"/>
      <c r="L16" s="38"/>
      <c r="M16" s="40"/>
      <c r="N16" s="38"/>
      <c r="O16" s="38"/>
    </row>
    <row r="17" spans="1:15" s="7" customFormat="1" ht="15.75">
      <c r="A17" s="33">
        <v>3</v>
      </c>
      <c r="B17" s="65">
        <f t="shared" ref="B17:B34" si="2">B16+C16</f>
        <v>44102</v>
      </c>
      <c r="C17" s="33">
        <f t="shared" ref="C17:C35" si="3">C16</f>
        <v>10</v>
      </c>
      <c r="D17" s="33"/>
      <c r="F17" s="1">
        <v>4</v>
      </c>
      <c r="G17" s="91">
        <f t="shared" si="0"/>
        <v>44112</v>
      </c>
      <c r="H17" s="31">
        <f t="shared" si="1"/>
        <v>10</v>
      </c>
      <c r="I17" s="91"/>
      <c r="J17" s="2"/>
      <c r="L17" s="38"/>
      <c r="M17" s="40"/>
      <c r="N17" s="38"/>
      <c r="O17" s="38"/>
    </row>
    <row r="18" spans="1:15" s="7" customFormat="1" ht="15.75">
      <c r="A18" s="33">
        <v>4</v>
      </c>
      <c r="B18" s="65">
        <f t="shared" si="2"/>
        <v>44112</v>
      </c>
      <c r="C18" s="33">
        <f t="shared" si="3"/>
        <v>10</v>
      </c>
      <c r="D18" s="33"/>
      <c r="F18" s="1">
        <v>5</v>
      </c>
      <c r="G18" s="91">
        <f t="shared" si="0"/>
        <v>44122</v>
      </c>
      <c r="H18" s="31">
        <f t="shared" si="1"/>
        <v>10</v>
      </c>
      <c r="I18" s="91"/>
      <c r="J18" s="2"/>
      <c r="L18" s="38"/>
      <c r="M18" s="40"/>
      <c r="N18" s="38"/>
      <c r="O18" s="38"/>
    </row>
    <row r="19" spans="1:15" s="7" customFormat="1" ht="15.75">
      <c r="A19" s="33">
        <v>5</v>
      </c>
      <c r="B19" s="65">
        <f t="shared" si="2"/>
        <v>44122</v>
      </c>
      <c r="C19" s="33">
        <f t="shared" si="3"/>
        <v>10</v>
      </c>
      <c r="D19" s="33"/>
      <c r="F19" s="1">
        <v>6</v>
      </c>
      <c r="G19" s="91">
        <f t="shared" si="0"/>
        <v>44132</v>
      </c>
      <c r="H19" s="31">
        <f t="shared" si="1"/>
        <v>10</v>
      </c>
      <c r="I19" s="91"/>
      <c r="J19" s="2"/>
      <c r="L19" s="38"/>
      <c r="M19" s="40"/>
      <c r="N19" s="38"/>
      <c r="O19" s="38"/>
    </row>
    <row r="20" spans="1:15" s="7" customFormat="1" ht="15.75">
      <c r="A20" s="33">
        <v>6</v>
      </c>
      <c r="B20" s="65">
        <f t="shared" si="2"/>
        <v>44132</v>
      </c>
      <c r="C20" s="33">
        <f t="shared" si="3"/>
        <v>10</v>
      </c>
      <c r="D20" s="33"/>
      <c r="F20" s="1">
        <v>7</v>
      </c>
      <c r="G20" s="91">
        <f t="shared" si="0"/>
        <v>44142</v>
      </c>
      <c r="H20" s="31">
        <f t="shared" si="1"/>
        <v>10</v>
      </c>
      <c r="I20" s="91"/>
      <c r="J20" s="2"/>
      <c r="L20" s="38"/>
      <c r="M20" s="40"/>
      <c r="N20" s="38"/>
      <c r="O20" s="38"/>
    </row>
    <row r="21" spans="1:15" s="7" customFormat="1" ht="15.75">
      <c r="A21" s="33">
        <v>7</v>
      </c>
      <c r="B21" s="65">
        <f t="shared" si="2"/>
        <v>44142</v>
      </c>
      <c r="C21" s="33">
        <f t="shared" si="3"/>
        <v>10</v>
      </c>
      <c r="D21" s="33"/>
      <c r="F21" s="1">
        <v>8</v>
      </c>
      <c r="G21" s="91">
        <f t="shared" si="0"/>
        <v>44152</v>
      </c>
      <c r="H21" s="31">
        <f t="shared" si="1"/>
        <v>10</v>
      </c>
      <c r="I21" s="91"/>
      <c r="J21" s="2"/>
      <c r="L21" s="38"/>
      <c r="M21" s="40"/>
      <c r="N21" s="38"/>
      <c r="O21" s="38"/>
    </row>
    <row r="22" spans="1:15" s="7" customFormat="1" ht="15.75">
      <c r="A22" s="33">
        <v>8</v>
      </c>
      <c r="B22" s="65">
        <f>B21+C21</f>
        <v>44152</v>
      </c>
      <c r="C22" s="33">
        <f t="shared" si="3"/>
        <v>10</v>
      </c>
      <c r="D22" s="33"/>
      <c r="F22" s="1">
        <v>9</v>
      </c>
      <c r="G22" s="91">
        <f t="shared" si="0"/>
        <v>44162</v>
      </c>
      <c r="H22" s="31">
        <f t="shared" si="1"/>
        <v>10</v>
      </c>
      <c r="I22" s="91"/>
      <c r="J22" s="2"/>
      <c r="L22" s="38"/>
      <c r="M22" s="40"/>
      <c r="N22" s="38"/>
      <c r="O22" s="38"/>
    </row>
    <row r="23" spans="1:15" s="7" customFormat="1" ht="15.75">
      <c r="A23" s="33">
        <v>9</v>
      </c>
      <c r="B23" s="65">
        <f t="shared" si="2"/>
        <v>44162</v>
      </c>
      <c r="C23" s="33">
        <f t="shared" si="3"/>
        <v>10</v>
      </c>
      <c r="D23" s="33"/>
      <c r="F23" s="1">
        <v>10</v>
      </c>
      <c r="G23" s="91">
        <f t="shared" si="0"/>
        <v>44172</v>
      </c>
      <c r="H23" s="31">
        <f t="shared" si="1"/>
        <v>10</v>
      </c>
      <c r="I23" s="91"/>
      <c r="J23" s="2"/>
      <c r="L23" s="38"/>
      <c r="M23" s="40"/>
      <c r="N23" s="38"/>
      <c r="O23" s="38"/>
    </row>
    <row r="24" spans="1:15" s="7" customFormat="1" ht="15.75">
      <c r="A24" s="33">
        <v>10</v>
      </c>
      <c r="B24" s="65">
        <f t="shared" si="2"/>
        <v>44172</v>
      </c>
      <c r="C24" s="33">
        <f t="shared" si="3"/>
        <v>10</v>
      </c>
      <c r="D24" s="33"/>
      <c r="F24" s="1">
        <v>11</v>
      </c>
      <c r="G24" s="91">
        <f t="shared" si="0"/>
        <v>44182</v>
      </c>
      <c r="H24" s="31">
        <f t="shared" si="1"/>
        <v>10</v>
      </c>
      <c r="I24" s="91"/>
      <c r="J24" s="2"/>
      <c r="L24" s="38"/>
      <c r="M24" s="40"/>
      <c r="N24" s="38"/>
      <c r="O24" s="38"/>
    </row>
    <row r="25" spans="1:15" s="7" customFormat="1" ht="15.75">
      <c r="A25" s="33">
        <v>11</v>
      </c>
      <c r="B25" s="65">
        <f t="shared" si="2"/>
        <v>44182</v>
      </c>
      <c r="C25" s="33">
        <f t="shared" si="3"/>
        <v>10</v>
      </c>
      <c r="D25" s="33"/>
      <c r="F25" s="1">
        <v>12</v>
      </c>
      <c r="G25" s="91">
        <f t="shared" si="0"/>
        <v>44192</v>
      </c>
      <c r="H25" s="31">
        <f t="shared" si="1"/>
        <v>10</v>
      </c>
      <c r="I25" s="91"/>
      <c r="J25" s="2"/>
      <c r="L25" s="38"/>
      <c r="M25" s="40"/>
      <c r="N25" s="38"/>
      <c r="O25" s="38"/>
    </row>
    <row r="26" spans="1:15" s="7" customFormat="1" ht="15.75">
      <c r="A26" s="33">
        <v>12</v>
      </c>
      <c r="B26" s="65">
        <f t="shared" si="2"/>
        <v>44192</v>
      </c>
      <c r="C26" s="33">
        <f t="shared" si="3"/>
        <v>10</v>
      </c>
      <c r="D26" s="33"/>
      <c r="F26" s="1">
        <v>13</v>
      </c>
      <c r="G26" s="91">
        <f t="shared" si="0"/>
        <v>44202</v>
      </c>
      <c r="H26" s="31">
        <f t="shared" si="1"/>
        <v>10</v>
      </c>
      <c r="I26" s="91"/>
      <c r="J26" s="2"/>
      <c r="L26" s="38"/>
      <c r="M26" s="40"/>
      <c r="N26" s="38"/>
      <c r="O26" s="38"/>
    </row>
    <row r="27" spans="1:15" s="7" customFormat="1" ht="15.75">
      <c r="A27" s="33">
        <v>13</v>
      </c>
      <c r="B27" s="65">
        <f t="shared" si="2"/>
        <v>44202</v>
      </c>
      <c r="C27" s="33">
        <f t="shared" si="3"/>
        <v>10</v>
      </c>
      <c r="D27" s="33"/>
      <c r="F27" s="1">
        <v>14</v>
      </c>
      <c r="G27" s="91">
        <f t="shared" si="0"/>
        <v>44212</v>
      </c>
      <c r="H27" s="31">
        <f t="shared" si="1"/>
        <v>10</v>
      </c>
      <c r="I27" s="91"/>
      <c r="J27" s="2"/>
      <c r="L27" s="38"/>
      <c r="M27" s="40"/>
      <c r="N27" s="38"/>
      <c r="O27" s="38"/>
    </row>
    <row r="28" spans="1:15" s="7" customFormat="1" ht="15.75">
      <c r="A28" s="33">
        <v>14</v>
      </c>
      <c r="B28" s="65">
        <f t="shared" si="2"/>
        <v>44212</v>
      </c>
      <c r="C28" s="33">
        <f t="shared" si="3"/>
        <v>10</v>
      </c>
      <c r="D28" s="33"/>
      <c r="F28" s="1">
        <v>15</v>
      </c>
      <c r="G28" s="91">
        <f t="shared" si="0"/>
        <v>44222</v>
      </c>
      <c r="H28" s="31">
        <f t="shared" si="1"/>
        <v>10</v>
      </c>
      <c r="I28" s="91"/>
      <c r="J28" s="2"/>
      <c r="L28" s="38"/>
      <c r="M28" s="40"/>
      <c r="N28" s="38"/>
      <c r="O28" s="38"/>
    </row>
    <row r="29" spans="1:15" s="7" customFormat="1" ht="15.75">
      <c r="A29" s="33">
        <v>15</v>
      </c>
      <c r="B29" s="65">
        <f t="shared" si="2"/>
        <v>44222</v>
      </c>
      <c r="C29" s="33">
        <f t="shared" si="3"/>
        <v>10</v>
      </c>
      <c r="D29" s="33"/>
      <c r="F29" s="1">
        <v>16</v>
      </c>
      <c r="G29" s="91">
        <f t="shared" si="0"/>
        <v>44232</v>
      </c>
      <c r="H29" s="31">
        <f t="shared" si="1"/>
        <v>10</v>
      </c>
      <c r="I29" s="91"/>
      <c r="J29" s="2"/>
      <c r="L29" s="38"/>
      <c r="M29" s="40"/>
      <c r="N29" s="38"/>
      <c r="O29" s="38"/>
    </row>
    <row r="30" spans="1:15" s="7" customFormat="1" ht="15.75">
      <c r="A30" s="33">
        <v>16</v>
      </c>
      <c r="B30" s="65">
        <f t="shared" si="2"/>
        <v>44232</v>
      </c>
      <c r="C30" s="33">
        <f t="shared" si="3"/>
        <v>10</v>
      </c>
      <c r="D30" s="33"/>
      <c r="F30" s="1">
        <v>17</v>
      </c>
      <c r="G30" s="91">
        <f t="shared" si="0"/>
        <v>44242</v>
      </c>
      <c r="H30" s="31">
        <f t="shared" si="1"/>
        <v>10</v>
      </c>
      <c r="I30" s="91"/>
      <c r="J30" s="2"/>
      <c r="L30" s="38"/>
      <c r="M30" s="40"/>
      <c r="N30" s="38"/>
      <c r="O30" s="38"/>
    </row>
    <row r="31" spans="1:15" s="7" customFormat="1" ht="15.75">
      <c r="A31" s="33">
        <v>17</v>
      </c>
      <c r="B31" s="65">
        <f t="shared" si="2"/>
        <v>44242</v>
      </c>
      <c r="C31" s="33">
        <f t="shared" si="3"/>
        <v>10</v>
      </c>
      <c r="D31" s="33"/>
      <c r="F31" s="1">
        <v>18</v>
      </c>
      <c r="G31" s="91">
        <f t="shared" si="0"/>
        <v>44252</v>
      </c>
      <c r="H31" s="31">
        <f t="shared" si="1"/>
        <v>10</v>
      </c>
      <c r="I31" s="91"/>
      <c r="J31" s="2"/>
      <c r="L31" s="38"/>
      <c r="M31" s="40"/>
      <c r="N31" s="38"/>
      <c r="O31" s="38"/>
    </row>
    <row r="32" spans="1:15" s="7" customFormat="1" ht="15.75">
      <c r="A32" s="33">
        <v>18</v>
      </c>
      <c r="B32" s="65">
        <f t="shared" si="2"/>
        <v>44252</v>
      </c>
      <c r="C32" s="33">
        <f t="shared" si="3"/>
        <v>10</v>
      </c>
      <c r="D32" s="33"/>
      <c r="F32" s="1">
        <v>19</v>
      </c>
      <c r="G32" s="91">
        <f t="shared" si="0"/>
        <v>44262</v>
      </c>
      <c r="H32" s="31">
        <f t="shared" si="1"/>
        <v>10</v>
      </c>
      <c r="I32" s="91"/>
      <c r="J32" s="2"/>
      <c r="L32" s="38"/>
      <c r="M32" s="40"/>
      <c r="N32" s="38"/>
      <c r="O32" s="38"/>
    </row>
    <row r="33" spans="1:15" s="7" customFormat="1" ht="15.75">
      <c r="A33" s="33">
        <v>19</v>
      </c>
      <c r="B33" s="65">
        <f t="shared" si="2"/>
        <v>44262</v>
      </c>
      <c r="C33" s="33">
        <f t="shared" si="3"/>
        <v>10</v>
      </c>
      <c r="D33" s="33"/>
      <c r="F33" s="1">
        <v>20</v>
      </c>
      <c r="G33" s="91">
        <f t="shared" si="0"/>
        <v>44272</v>
      </c>
      <c r="H33" s="31">
        <f t="shared" si="1"/>
        <v>10</v>
      </c>
      <c r="I33" s="91"/>
      <c r="J33" s="2"/>
      <c r="L33" s="38"/>
      <c r="M33" s="40"/>
      <c r="N33" s="38"/>
      <c r="O33" s="38"/>
    </row>
    <row r="34" spans="1:15">
      <c r="A34" s="33">
        <v>20</v>
      </c>
      <c r="B34" s="65">
        <f t="shared" si="2"/>
        <v>44272</v>
      </c>
      <c r="C34" s="33">
        <f t="shared" si="3"/>
        <v>10</v>
      </c>
      <c r="D34" s="33"/>
      <c r="E34" s="28"/>
      <c r="F34" s="1">
        <v>21</v>
      </c>
      <c r="G34" s="91">
        <f t="shared" si="0"/>
        <v>44282</v>
      </c>
      <c r="H34" s="31">
        <f t="shared" si="1"/>
        <v>10</v>
      </c>
      <c r="I34" s="31"/>
      <c r="J34" s="52"/>
      <c r="L34" s="38"/>
      <c r="M34" s="40"/>
      <c r="N34" s="38"/>
      <c r="O34" s="38"/>
    </row>
    <row r="35" spans="1:15">
      <c r="A35" s="33">
        <v>21</v>
      </c>
      <c r="B35" s="65">
        <f>B34+C34</f>
        <v>44282</v>
      </c>
      <c r="C35" s="33">
        <f t="shared" si="3"/>
        <v>10</v>
      </c>
      <c r="D35" s="33"/>
      <c r="E35" s="28"/>
      <c r="F35" s="1" t="s">
        <v>34</v>
      </c>
      <c r="G35" s="91">
        <f>G34+H34</f>
        <v>44292</v>
      </c>
      <c r="H35" s="31"/>
      <c r="I35" s="31" t="s">
        <v>35</v>
      </c>
      <c r="J35" s="52"/>
      <c r="L35" s="38"/>
      <c r="M35" s="40"/>
      <c r="N35" s="38"/>
      <c r="O35" s="38"/>
    </row>
    <row r="36" spans="1:15">
      <c r="A36" s="33" t="s">
        <v>34</v>
      </c>
      <c r="B36" s="65">
        <f>B35+C35</f>
        <v>44292</v>
      </c>
      <c r="C36" s="33"/>
      <c r="D36" s="33" t="s">
        <v>35</v>
      </c>
      <c r="E36" s="28"/>
      <c r="F36" s="31"/>
      <c r="G36" s="91"/>
      <c r="H36" s="31"/>
      <c r="I36" s="31"/>
      <c r="J36" s="52"/>
      <c r="L36" s="38"/>
      <c r="M36" s="40"/>
      <c r="N36" s="38"/>
      <c r="O36" s="38"/>
    </row>
    <row r="37" spans="1:15">
      <c r="A37" s="33" t="s">
        <v>61</v>
      </c>
      <c r="B37" s="65">
        <v>44295</v>
      </c>
      <c r="C37" s="66">
        <f>B37-B36</f>
        <v>3</v>
      </c>
      <c r="D37" s="33" t="s">
        <v>36</v>
      </c>
      <c r="E37" s="28"/>
      <c r="F37" s="52"/>
      <c r="G37" s="52"/>
      <c r="H37" s="52"/>
      <c r="I37" s="52"/>
      <c r="J37" s="52"/>
      <c r="L37" s="38"/>
      <c r="M37" s="40"/>
      <c r="N37" s="38"/>
      <c r="O37" s="38"/>
    </row>
    <row r="38" spans="1:15">
      <c r="A38" s="33"/>
      <c r="B38" s="67"/>
      <c r="C38" s="66"/>
      <c r="D38" s="66"/>
      <c r="E38" s="28"/>
      <c r="F38" s="52"/>
      <c r="G38" s="52"/>
      <c r="H38" s="52"/>
      <c r="I38" s="52"/>
      <c r="J38" s="52"/>
      <c r="L38" s="38"/>
      <c r="M38" s="40"/>
      <c r="N38" s="41"/>
      <c r="O38" s="38"/>
    </row>
    <row r="39" spans="1:15">
      <c r="A39" s="33" t="s">
        <v>37</v>
      </c>
      <c r="B39" s="33">
        <f>SUM(C15:C35)</f>
        <v>210</v>
      </c>
      <c r="C39" s="33"/>
      <c r="D39" s="68"/>
      <c r="E39" s="28"/>
      <c r="F39" s="28"/>
      <c r="G39" s="28"/>
      <c r="H39" s="28"/>
      <c r="I39" s="28"/>
      <c r="J39" s="28"/>
      <c r="L39" s="38"/>
      <c r="M39" s="42"/>
      <c r="N39" s="41"/>
      <c r="O39" s="41"/>
    </row>
    <row r="40" spans="1:15">
      <c r="A40" s="33" t="s">
        <v>38</v>
      </c>
      <c r="B40" s="33"/>
      <c r="C40" s="33"/>
      <c r="D40" s="68"/>
      <c r="E40" s="28"/>
      <c r="F40" s="28"/>
      <c r="G40" s="28"/>
      <c r="H40" s="28"/>
      <c r="I40" s="28"/>
      <c r="J40" s="28"/>
      <c r="L40" s="38"/>
      <c r="M40" s="38"/>
      <c r="N40" s="38"/>
      <c r="O40" s="43"/>
    </row>
    <row r="41" spans="1:15">
      <c r="A41" s="33"/>
      <c r="B41" s="33"/>
      <c r="C41" s="33"/>
      <c r="D41" s="68"/>
      <c r="L41" s="38"/>
      <c r="M41" s="38"/>
      <c r="N41" s="38"/>
      <c r="O41" s="43"/>
    </row>
    <row r="42" spans="1:15">
      <c r="L42" s="44"/>
      <c r="M42" s="38"/>
      <c r="N42" s="38"/>
      <c r="O42" s="43"/>
    </row>
    <row r="43" spans="1:15" ht="15.75">
      <c r="E43" s="34"/>
    </row>
    <row r="45" spans="1:15" ht="46.5">
      <c r="A45" s="128" t="s">
        <v>167</v>
      </c>
      <c r="H45" s="128" t="s">
        <v>760</v>
      </c>
      <c r="O45" s="128" t="s">
        <v>1329</v>
      </c>
    </row>
    <row r="48" spans="1:15">
      <c r="A48" t="s">
        <v>168</v>
      </c>
      <c r="H48" t="s">
        <v>761</v>
      </c>
      <c r="O48" t="s">
        <v>1330</v>
      </c>
    </row>
    <row r="49" spans="1:15">
      <c r="A49" t="s">
        <v>169</v>
      </c>
      <c r="H49" t="s">
        <v>761</v>
      </c>
      <c r="O49" t="s">
        <v>1331</v>
      </c>
    </row>
    <row r="50" spans="1:15">
      <c r="A50" t="s">
        <v>170</v>
      </c>
      <c r="H50" t="s">
        <v>762</v>
      </c>
      <c r="O50" t="s">
        <v>1332</v>
      </c>
    </row>
    <row r="51" spans="1:15">
      <c r="A51" t="s">
        <v>171</v>
      </c>
      <c r="H51" t="s">
        <v>763</v>
      </c>
      <c r="O51" t="s">
        <v>1332</v>
      </c>
    </row>
    <row r="52" spans="1:15">
      <c r="A52" t="s">
        <v>172</v>
      </c>
      <c r="H52" t="s">
        <v>764</v>
      </c>
      <c r="O52" t="s">
        <v>1333</v>
      </c>
    </row>
    <row r="53" spans="1:15">
      <c r="A53" t="s">
        <v>173</v>
      </c>
      <c r="H53" t="s">
        <v>765</v>
      </c>
      <c r="I53" t="s">
        <v>175</v>
      </c>
      <c r="O53" t="s">
        <v>1334</v>
      </c>
    </row>
    <row r="54" spans="1:15">
      <c r="A54" t="s">
        <v>174</v>
      </c>
      <c r="B54" t="s">
        <v>175</v>
      </c>
      <c r="H54" t="s">
        <v>766</v>
      </c>
      <c r="I54" t="s">
        <v>177</v>
      </c>
      <c r="O54" t="s">
        <v>1335</v>
      </c>
    </row>
    <row r="55" spans="1:15">
      <c r="A55" t="s">
        <v>176</v>
      </c>
      <c r="B55" t="s">
        <v>177</v>
      </c>
      <c r="H55" t="s">
        <v>767</v>
      </c>
      <c r="I55" t="s">
        <v>179</v>
      </c>
      <c r="O55" t="s">
        <v>1336</v>
      </c>
    </row>
    <row r="56" spans="1:15">
      <c r="A56" t="s">
        <v>178</v>
      </c>
      <c r="B56" t="s">
        <v>179</v>
      </c>
      <c r="H56" t="s">
        <v>768</v>
      </c>
      <c r="I56" t="s">
        <v>769</v>
      </c>
      <c r="O56" t="s">
        <v>1337</v>
      </c>
    </row>
    <row r="57" spans="1:15">
      <c r="A57" t="s">
        <v>180</v>
      </c>
      <c r="B57" t="s">
        <v>181</v>
      </c>
      <c r="H57" t="s">
        <v>770</v>
      </c>
      <c r="O57" t="s">
        <v>1338</v>
      </c>
    </row>
    <row r="58" spans="1:15">
      <c r="A58" t="s">
        <v>182</v>
      </c>
      <c r="H58" t="s">
        <v>771</v>
      </c>
      <c r="I58" t="s">
        <v>184</v>
      </c>
      <c r="O58" t="s">
        <v>1339</v>
      </c>
    </row>
    <row r="59" spans="1:15">
      <c r="A59" t="s">
        <v>183</v>
      </c>
      <c r="B59" t="s">
        <v>184</v>
      </c>
      <c r="H59" t="s">
        <v>772</v>
      </c>
      <c r="I59" t="s">
        <v>186</v>
      </c>
      <c r="O59" t="s">
        <v>1340</v>
      </c>
    </row>
    <row r="60" spans="1:15">
      <c r="A60" t="s">
        <v>185</v>
      </c>
      <c r="B60" t="s">
        <v>186</v>
      </c>
      <c r="H60" t="s">
        <v>773</v>
      </c>
      <c r="I60" t="s">
        <v>188</v>
      </c>
      <c r="O60" t="s">
        <v>1341</v>
      </c>
    </row>
    <row r="61" spans="1:15">
      <c r="A61" t="s">
        <v>187</v>
      </c>
      <c r="B61" t="s">
        <v>188</v>
      </c>
      <c r="H61" t="s">
        <v>774</v>
      </c>
      <c r="I61" t="s">
        <v>775</v>
      </c>
      <c r="O61" t="s">
        <v>1342</v>
      </c>
    </row>
    <row r="62" spans="1:15">
      <c r="A62" t="s">
        <v>189</v>
      </c>
      <c r="B62" t="s">
        <v>190</v>
      </c>
      <c r="H62" t="s">
        <v>776</v>
      </c>
      <c r="O62" t="s">
        <v>1343</v>
      </c>
    </row>
    <row r="63" spans="1:15">
      <c r="A63" t="s">
        <v>191</v>
      </c>
      <c r="H63" t="s">
        <v>777</v>
      </c>
      <c r="I63" t="s">
        <v>193</v>
      </c>
      <c r="O63" t="s">
        <v>1344</v>
      </c>
    </row>
    <row r="64" spans="1:15">
      <c r="A64" t="s">
        <v>192</v>
      </c>
      <c r="B64" t="s">
        <v>193</v>
      </c>
      <c r="H64" t="s">
        <v>778</v>
      </c>
      <c r="I64" t="s">
        <v>195</v>
      </c>
      <c r="O64" t="s">
        <v>1345</v>
      </c>
    </row>
    <row r="65" spans="1:15">
      <c r="A65" t="s">
        <v>194</v>
      </c>
      <c r="B65" t="s">
        <v>195</v>
      </c>
      <c r="H65" t="s">
        <v>779</v>
      </c>
      <c r="I65" t="s">
        <v>197</v>
      </c>
      <c r="O65" t="s">
        <v>1346</v>
      </c>
    </row>
    <row r="66" spans="1:15">
      <c r="A66" t="s">
        <v>196</v>
      </c>
      <c r="B66" t="s">
        <v>197</v>
      </c>
      <c r="H66" t="s">
        <v>780</v>
      </c>
      <c r="I66" t="s">
        <v>199</v>
      </c>
      <c r="O66" t="s">
        <v>1347</v>
      </c>
    </row>
    <row r="67" spans="1:15">
      <c r="A67" t="s">
        <v>198</v>
      </c>
      <c r="B67" t="s">
        <v>199</v>
      </c>
      <c r="H67" t="s">
        <v>781</v>
      </c>
      <c r="O67" t="s">
        <v>1348</v>
      </c>
    </row>
    <row r="68" spans="1:15">
      <c r="A68" t="s">
        <v>200</v>
      </c>
      <c r="H68" t="s">
        <v>782</v>
      </c>
      <c r="I68" t="s">
        <v>202</v>
      </c>
      <c r="O68" t="s">
        <v>1349</v>
      </c>
    </row>
    <row r="69" spans="1:15">
      <c r="A69" t="s">
        <v>201</v>
      </c>
      <c r="B69" t="s">
        <v>202</v>
      </c>
      <c r="H69" t="s">
        <v>783</v>
      </c>
      <c r="O69" t="s">
        <v>1350</v>
      </c>
    </row>
    <row r="70" spans="1:15">
      <c r="A70" t="s">
        <v>203</v>
      </c>
      <c r="H70" t="s">
        <v>784</v>
      </c>
      <c r="O70" t="s">
        <v>1351</v>
      </c>
    </row>
    <row r="71" spans="1:15">
      <c r="A71" t="s">
        <v>204</v>
      </c>
      <c r="H71" t="s">
        <v>785</v>
      </c>
      <c r="O71" t="s">
        <v>1352</v>
      </c>
    </row>
    <row r="72" spans="1:15">
      <c r="A72" t="s">
        <v>205</v>
      </c>
      <c r="H72" t="s">
        <v>786</v>
      </c>
      <c r="O72" t="s">
        <v>1353</v>
      </c>
    </row>
    <row r="73" spans="1:15">
      <c r="A73" t="s">
        <v>206</v>
      </c>
      <c r="H73" t="s">
        <v>787</v>
      </c>
      <c r="O73" t="s">
        <v>1354</v>
      </c>
    </row>
    <row r="74" spans="1:15">
      <c r="A74" t="s">
        <v>207</v>
      </c>
      <c r="H74" t="s">
        <v>788</v>
      </c>
      <c r="O74" t="s">
        <v>1355</v>
      </c>
    </row>
    <row r="75" spans="1:15">
      <c r="A75" t="s">
        <v>208</v>
      </c>
      <c r="H75" t="s">
        <v>789</v>
      </c>
      <c r="O75" t="s">
        <v>1356</v>
      </c>
    </row>
    <row r="76" spans="1:15">
      <c r="A76" t="s">
        <v>209</v>
      </c>
      <c r="H76" t="s">
        <v>790</v>
      </c>
      <c r="O76" t="s">
        <v>1357</v>
      </c>
    </row>
    <row r="77" spans="1:15">
      <c r="A77" t="s">
        <v>210</v>
      </c>
      <c r="H77" t="s">
        <v>791</v>
      </c>
      <c r="O77" t="s">
        <v>1358</v>
      </c>
    </row>
    <row r="78" spans="1:15">
      <c r="A78" t="s">
        <v>211</v>
      </c>
      <c r="H78" t="s">
        <v>792</v>
      </c>
      <c r="O78" t="s">
        <v>1359</v>
      </c>
    </row>
    <row r="79" spans="1:15">
      <c r="A79" t="s">
        <v>212</v>
      </c>
      <c r="H79" t="s">
        <v>793</v>
      </c>
      <c r="O79" t="s">
        <v>1360</v>
      </c>
    </row>
    <row r="80" spans="1:15">
      <c r="A80" t="s">
        <v>213</v>
      </c>
      <c r="H80" t="s">
        <v>793</v>
      </c>
      <c r="O80" t="s">
        <v>1361</v>
      </c>
    </row>
    <row r="81" spans="1:15">
      <c r="A81" t="s">
        <v>214</v>
      </c>
      <c r="H81" t="s">
        <v>794</v>
      </c>
      <c r="O81" t="s">
        <v>1362</v>
      </c>
    </row>
    <row r="82" spans="1:15">
      <c r="A82" t="s">
        <v>215</v>
      </c>
      <c r="H82" t="s">
        <v>795</v>
      </c>
      <c r="O82" t="s">
        <v>1363</v>
      </c>
    </row>
    <row r="83" spans="1:15">
      <c r="A83" t="s">
        <v>216</v>
      </c>
      <c r="H83" t="s">
        <v>796</v>
      </c>
      <c r="O83" t="s">
        <v>1364</v>
      </c>
    </row>
    <row r="84" spans="1:15">
      <c r="A84" t="s">
        <v>217</v>
      </c>
      <c r="H84" t="s">
        <v>797</v>
      </c>
      <c r="O84" t="s">
        <v>1365</v>
      </c>
    </row>
    <row r="85" spans="1:15">
      <c r="A85" t="s">
        <v>217</v>
      </c>
      <c r="H85" t="s">
        <v>798</v>
      </c>
      <c r="O85" t="s">
        <v>1366</v>
      </c>
    </row>
    <row r="86" spans="1:15">
      <c r="A86" t="s">
        <v>218</v>
      </c>
      <c r="H86" t="s">
        <v>799</v>
      </c>
      <c r="O86" t="s">
        <v>1367</v>
      </c>
    </row>
    <row r="87" spans="1:15">
      <c r="A87" t="s">
        <v>219</v>
      </c>
      <c r="H87" t="s">
        <v>799</v>
      </c>
      <c r="O87" t="s">
        <v>1368</v>
      </c>
    </row>
    <row r="88" spans="1:15">
      <c r="A88" t="s">
        <v>220</v>
      </c>
      <c r="H88" t="s">
        <v>800</v>
      </c>
      <c r="O88" t="s">
        <v>1369</v>
      </c>
    </row>
    <row r="89" spans="1:15">
      <c r="A89" t="s">
        <v>221</v>
      </c>
      <c r="B89" t="s">
        <v>175</v>
      </c>
      <c r="H89" t="s">
        <v>801</v>
      </c>
      <c r="O89" t="s">
        <v>1370</v>
      </c>
    </row>
    <row r="90" spans="1:15">
      <c r="A90" t="s">
        <v>222</v>
      </c>
      <c r="B90" t="s">
        <v>177</v>
      </c>
      <c r="H90" t="s">
        <v>802</v>
      </c>
      <c r="O90" t="s">
        <v>1371</v>
      </c>
    </row>
    <row r="91" spans="1:15">
      <c r="A91" t="s">
        <v>223</v>
      </c>
      <c r="B91" t="s">
        <v>179</v>
      </c>
      <c r="H91" t="s">
        <v>803</v>
      </c>
      <c r="I91" t="s">
        <v>175</v>
      </c>
      <c r="O91" t="s">
        <v>1372</v>
      </c>
    </row>
    <row r="92" spans="1:15">
      <c r="A92" t="s">
        <v>224</v>
      </c>
      <c r="B92" t="s">
        <v>181</v>
      </c>
      <c r="H92" t="s">
        <v>804</v>
      </c>
      <c r="I92" t="s">
        <v>177</v>
      </c>
      <c r="O92" t="s">
        <v>1373</v>
      </c>
    </row>
    <row r="93" spans="1:15">
      <c r="A93" t="s">
        <v>225</v>
      </c>
      <c r="H93" t="s">
        <v>805</v>
      </c>
      <c r="I93" t="s">
        <v>179</v>
      </c>
      <c r="O93" t="s">
        <v>1374</v>
      </c>
    </row>
    <row r="94" spans="1:15">
      <c r="A94" t="s">
        <v>226</v>
      </c>
      <c r="B94" t="s">
        <v>184</v>
      </c>
      <c r="H94" t="s">
        <v>806</v>
      </c>
      <c r="I94" t="s">
        <v>769</v>
      </c>
      <c r="O94" t="s">
        <v>1375</v>
      </c>
    </row>
    <row r="95" spans="1:15">
      <c r="A95" t="s">
        <v>227</v>
      </c>
      <c r="B95" t="s">
        <v>186</v>
      </c>
      <c r="H95" t="s">
        <v>807</v>
      </c>
      <c r="O95" t="s">
        <v>1376</v>
      </c>
    </row>
    <row r="96" spans="1:15">
      <c r="A96" t="s">
        <v>228</v>
      </c>
      <c r="B96" t="s">
        <v>188</v>
      </c>
      <c r="H96" t="s">
        <v>808</v>
      </c>
      <c r="I96" t="s">
        <v>184</v>
      </c>
      <c r="O96" t="s">
        <v>1377</v>
      </c>
    </row>
    <row r="97" spans="1:15">
      <c r="A97" t="s">
        <v>229</v>
      </c>
      <c r="B97" t="s">
        <v>230</v>
      </c>
      <c r="H97" t="s">
        <v>809</v>
      </c>
      <c r="I97" t="s">
        <v>186</v>
      </c>
      <c r="O97" t="s">
        <v>1378</v>
      </c>
    </row>
    <row r="98" spans="1:15">
      <c r="A98" t="s">
        <v>231</v>
      </c>
      <c r="H98" t="s">
        <v>810</v>
      </c>
      <c r="I98" t="s">
        <v>188</v>
      </c>
      <c r="O98" t="s">
        <v>1379</v>
      </c>
    </row>
    <row r="99" spans="1:15">
      <c r="A99" t="s">
        <v>232</v>
      </c>
      <c r="B99" t="s">
        <v>193</v>
      </c>
      <c r="H99" t="s">
        <v>811</v>
      </c>
      <c r="I99" t="s">
        <v>812</v>
      </c>
      <c r="O99" t="s">
        <v>1380</v>
      </c>
    </row>
    <row r="100" spans="1:15">
      <c r="A100" t="s">
        <v>233</v>
      </c>
      <c r="B100" t="s">
        <v>195</v>
      </c>
      <c r="H100" t="s">
        <v>813</v>
      </c>
      <c r="O100" t="s">
        <v>1381</v>
      </c>
    </row>
    <row r="101" spans="1:15">
      <c r="A101" t="s">
        <v>234</v>
      </c>
      <c r="B101" t="s">
        <v>197</v>
      </c>
      <c r="H101" t="s">
        <v>814</v>
      </c>
      <c r="I101" t="s">
        <v>193</v>
      </c>
      <c r="O101" t="s">
        <v>1382</v>
      </c>
    </row>
    <row r="102" spans="1:15">
      <c r="A102" t="s">
        <v>235</v>
      </c>
      <c r="B102" t="s">
        <v>199</v>
      </c>
      <c r="H102" t="s">
        <v>815</v>
      </c>
      <c r="I102" t="s">
        <v>195</v>
      </c>
      <c r="O102" t="s">
        <v>1383</v>
      </c>
    </row>
    <row r="103" spans="1:15">
      <c r="A103" t="s">
        <v>236</v>
      </c>
      <c r="H103" t="s">
        <v>816</v>
      </c>
      <c r="I103" t="s">
        <v>197</v>
      </c>
      <c r="O103" t="s">
        <v>1384</v>
      </c>
    </row>
    <row r="104" spans="1:15">
      <c r="A104" t="s">
        <v>237</v>
      </c>
      <c r="B104" t="s">
        <v>238</v>
      </c>
      <c r="H104" t="s">
        <v>817</v>
      </c>
      <c r="I104" t="s">
        <v>199</v>
      </c>
      <c r="O104" t="s">
        <v>1385</v>
      </c>
    </row>
    <row r="105" spans="1:15">
      <c r="A105" t="s">
        <v>239</v>
      </c>
      <c r="H105" t="s">
        <v>818</v>
      </c>
      <c r="O105" t="s">
        <v>1386</v>
      </c>
    </row>
    <row r="106" spans="1:15">
      <c r="A106" t="s">
        <v>240</v>
      </c>
      <c r="B106" t="s">
        <v>241</v>
      </c>
      <c r="H106" t="s">
        <v>819</v>
      </c>
      <c r="I106" t="s">
        <v>238</v>
      </c>
      <c r="O106" t="s">
        <v>1387</v>
      </c>
    </row>
    <row r="107" spans="1:15">
      <c r="A107" t="s">
        <v>242</v>
      </c>
      <c r="B107" t="s">
        <v>243</v>
      </c>
      <c r="H107" t="s">
        <v>820</v>
      </c>
      <c r="O107" t="s">
        <v>1388</v>
      </c>
    </row>
    <row r="108" spans="1:15">
      <c r="A108" t="s">
        <v>244</v>
      </c>
      <c r="B108" t="s">
        <v>245</v>
      </c>
      <c r="H108" t="s">
        <v>821</v>
      </c>
      <c r="I108" t="s">
        <v>241</v>
      </c>
      <c r="O108" t="s">
        <v>1389</v>
      </c>
    </row>
    <row r="109" spans="1:15">
      <c r="A109" t="s">
        <v>246</v>
      </c>
      <c r="B109" t="s">
        <v>247</v>
      </c>
      <c r="H109" t="s">
        <v>822</v>
      </c>
      <c r="I109" t="s">
        <v>243</v>
      </c>
      <c r="O109" t="s">
        <v>1390</v>
      </c>
    </row>
    <row r="110" spans="1:15">
      <c r="A110" t="s">
        <v>248</v>
      </c>
      <c r="H110" t="s">
        <v>823</v>
      </c>
      <c r="I110" t="s">
        <v>245</v>
      </c>
      <c r="O110" t="s">
        <v>1391</v>
      </c>
    </row>
    <row r="111" spans="1:15">
      <c r="A111" t="s">
        <v>249</v>
      </c>
      <c r="B111" t="s">
        <v>250</v>
      </c>
      <c r="H111" t="s">
        <v>824</v>
      </c>
      <c r="I111" t="s">
        <v>825</v>
      </c>
      <c r="O111" t="s">
        <v>1392</v>
      </c>
    </row>
    <row r="112" spans="1:15">
      <c r="A112" t="s">
        <v>251</v>
      </c>
      <c r="B112" t="s">
        <v>252</v>
      </c>
      <c r="H112" t="s">
        <v>826</v>
      </c>
      <c r="O112" t="s">
        <v>1393</v>
      </c>
    </row>
    <row r="113" spans="1:15">
      <c r="A113" t="s">
        <v>253</v>
      </c>
      <c r="B113" t="s">
        <v>254</v>
      </c>
      <c r="H113" t="s">
        <v>827</v>
      </c>
      <c r="I113" t="s">
        <v>250</v>
      </c>
      <c r="O113" t="s">
        <v>1394</v>
      </c>
    </row>
    <row r="114" spans="1:15">
      <c r="A114" t="s">
        <v>255</v>
      </c>
      <c r="B114" t="s">
        <v>256</v>
      </c>
      <c r="H114" t="s">
        <v>828</v>
      </c>
      <c r="I114" t="s">
        <v>252</v>
      </c>
      <c r="O114" t="s">
        <v>1395</v>
      </c>
    </row>
    <row r="115" spans="1:15">
      <c r="A115" t="s">
        <v>257</v>
      </c>
      <c r="B115" t="s">
        <v>258</v>
      </c>
      <c r="H115" t="s">
        <v>829</v>
      </c>
      <c r="I115" t="s">
        <v>254</v>
      </c>
      <c r="O115" t="s">
        <v>1396</v>
      </c>
    </row>
    <row r="116" spans="1:15">
      <c r="A116" t="s">
        <v>259</v>
      </c>
      <c r="H116" t="s">
        <v>830</v>
      </c>
      <c r="I116" t="s">
        <v>256</v>
      </c>
      <c r="O116" t="s">
        <v>1397</v>
      </c>
    </row>
    <row r="117" spans="1:15">
      <c r="A117" t="s">
        <v>260</v>
      </c>
      <c r="B117" t="s">
        <v>261</v>
      </c>
      <c r="H117" t="s">
        <v>831</v>
      </c>
      <c r="I117" t="s">
        <v>258</v>
      </c>
      <c r="O117" t="s">
        <v>1398</v>
      </c>
    </row>
    <row r="118" spans="1:15">
      <c r="A118" t="s">
        <v>262</v>
      </c>
      <c r="H118" t="s">
        <v>832</v>
      </c>
      <c r="O118" t="s">
        <v>1399</v>
      </c>
    </row>
    <row r="119" spans="1:15">
      <c r="A119" t="s">
        <v>263</v>
      </c>
      <c r="H119" t="s">
        <v>833</v>
      </c>
      <c r="I119" t="s">
        <v>261</v>
      </c>
      <c r="O119" t="s">
        <v>1400</v>
      </c>
    </row>
    <row r="120" spans="1:15">
      <c r="A120" t="s">
        <v>264</v>
      </c>
      <c r="H120" t="s">
        <v>834</v>
      </c>
      <c r="O120" t="s">
        <v>1401</v>
      </c>
    </row>
    <row r="121" spans="1:15">
      <c r="A121" t="s">
        <v>265</v>
      </c>
      <c r="H121" t="s">
        <v>835</v>
      </c>
      <c r="O121" t="s">
        <v>1402</v>
      </c>
    </row>
    <row r="122" spans="1:15">
      <c r="A122" t="s">
        <v>266</v>
      </c>
      <c r="H122" t="s">
        <v>836</v>
      </c>
      <c r="O122" t="s">
        <v>1403</v>
      </c>
    </row>
    <row r="123" spans="1:15">
      <c r="A123" t="s">
        <v>267</v>
      </c>
      <c r="H123" t="s">
        <v>837</v>
      </c>
      <c r="O123" t="s">
        <v>1404</v>
      </c>
    </row>
    <row r="124" spans="1:15">
      <c r="A124" t="s">
        <v>268</v>
      </c>
      <c r="H124" t="s">
        <v>838</v>
      </c>
      <c r="O124" t="s">
        <v>1405</v>
      </c>
    </row>
    <row r="125" spans="1:15">
      <c r="A125" t="s">
        <v>269</v>
      </c>
      <c r="H125" t="s">
        <v>839</v>
      </c>
      <c r="O125" t="s">
        <v>1406</v>
      </c>
    </row>
    <row r="126" spans="1:15">
      <c r="A126" t="s">
        <v>270</v>
      </c>
      <c r="H126" t="s">
        <v>840</v>
      </c>
      <c r="O126" t="s">
        <v>1407</v>
      </c>
    </row>
    <row r="127" spans="1:15">
      <c r="A127" t="s">
        <v>271</v>
      </c>
      <c r="B127" t="s">
        <v>272</v>
      </c>
      <c r="H127" t="s">
        <v>841</v>
      </c>
      <c r="O127" t="s">
        <v>1408</v>
      </c>
    </row>
    <row r="128" spans="1:15">
      <c r="A128" t="s">
        <v>273</v>
      </c>
      <c r="H128" t="s">
        <v>842</v>
      </c>
      <c r="O128" t="s">
        <v>1409</v>
      </c>
    </row>
    <row r="129" spans="1:21">
      <c r="A129" t="s">
        <v>274</v>
      </c>
      <c r="H129" t="s">
        <v>843</v>
      </c>
      <c r="I129" t="s">
        <v>272</v>
      </c>
      <c r="O129" t="s">
        <v>1410</v>
      </c>
    </row>
    <row r="130" spans="1:21">
      <c r="A130" t="s">
        <v>275</v>
      </c>
      <c r="H130" t="s">
        <v>844</v>
      </c>
      <c r="O130" t="s">
        <v>1411</v>
      </c>
    </row>
    <row r="131" spans="1:21">
      <c r="A131" t="s">
        <v>276</v>
      </c>
      <c r="H131" t="s">
        <v>845</v>
      </c>
      <c r="O131" t="s">
        <v>1412</v>
      </c>
    </row>
    <row r="132" spans="1:21">
      <c r="A132" t="s">
        <v>277</v>
      </c>
      <c r="H132" t="s">
        <v>846</v>
      </c>
      <c r="O132" t="s">
        <v>1413</v>
      </c>
    </row>
    <row r="133" spans="1:21">
      <c r="A133" t="s">
        <v>278</v>
      </c>
      <c r="H133" t="s">
        <v>847</v>
      </c>
      <c r="O133" t="s">
        <v>1414</v>
      </c>
    </row>
    <row r="134" spans="1:21">
      <c r="A134" t="s">
        <v>279</v>
      </c>
      <c r="H134" t="s">
        <v>848</v>
      </c>
      <c r="O134" t="s">
        <v>1415</v>
      </c>
      <c r="U134" s="139">
        <v>44082</v>
      </c>
    </row>
    <row r="135" spans="1:21">
      <c r="A135" t="s">
        <v>280</v>
      </c>
      <c r="H135" t="s">
        <v>849</v>
      </c>
      <c r="O135" t="s">
        <v>1416</v>
      </c>
      <c r="U135" s="139">
        <v>44092</v>
      </c>
    </row>
    <row r="136" spans="1:21">
      <c r="A136" t="s">
        <v>281</v>
      </c>
      <c r="H136" t="s">
        <v>850</v>
      </c>
      <c r="O136" t="s">
        <v>1417</v>
      </c>
      <c r="U136" s="139">
        <v>44102</v>
      </c>
    </row>
    <row r="137" spans="1:21">
      <c r="A137" t="s">
        <v>282</v>
      </c>
      <c r="H137" t="s">
        <v>851</v>
      </c>
      <c r="O137" t="s">
        <v>1418</v>
      </c>
      <c r="U137" s="139">
        <v>44112</v>
      </c>
    </row>
    <row r="138" spans="1:21">
      <c r="A138" t="s">
        <v>283</v>
      </c>
      <c r="H138" t="s">
        <v>852</v>
      </c>
      <c r="O138" t="s">
        <v>1419</v>
      </c>
      <c r="U138" s="139">
        <v>44122</v>
      </c>
    </row>
    <row r="139" spans="1:21">
      <c r="A139" t="s">
        <v>284</v>
      </c>
      <c r="H139" t="s">
        <v>853</v>
      </c>
      <c r="O139" t="s">
        <v>1420</v>
      </c>
      <c r="U139" s="139">
        <v>44132</v>
      </c>
    </row>
    <row r="140" spans="1:21">
      <c r="A140" t="s">
        <v>285</v>
      </c>
      <c r="H140" t="s">
        <v>854</v>
      </c>
      <c r="O140" t="s">
        <v>1421</v>
      </c>
      <c r="U140" s="139">
        <v>44142</v>
      </c>
    </row>
    <row r="141" spans="1:21">
      <c r="A141" t="s">
        <v>286</v>
      </c>
      <c r="F141" s="139">
        <v>44082</v>
      </c>
      <c r="H141" t="s">
        <v>855</v>
      </c>
      <c r="O141" t="s">
        <v>1422</v>
      </c>
      <c r="U141" s="139">
        <v>44152</v>
      </c>
    </row>
    <row r="142" spans="1:21">
      <c r="A142" t="s">
        <v>287</v>
      </c>
      <c r="F142" s="139">
        <v>44092</v>
      </c>
      <c r="H142" t="s">
        <v>856</v>
      </c>
      <c r="O142" t="s">
        <v>1423</v>
      </c>
      <c r="U142" s="139">
        <v>44162</v>
      </c>
    </row>
    <row r="143" spans="1:21">
      <c r="A143" t="s">
        <v>288</v>
      </c>
      <c r="F143" s="139">
        <v>44102</v>
      </c>
      <c r="H143" t="s">
        <v>857</v>
      </c>
      <c r="M143" s="139">
        <v>44082</v>
      </c>
      <c r="O143" t="s">
        <v>1424</v>
      </c>
      <c r="U143" s="139">
        <v>44172</v>
      </c>
    </row>
    <row r="144" spans="1:21">
      <c r="A144" t="s">
        <v>289</v>
      </c>
      <c r="F144" s="139">
        <v>44112</v>
      </c>
      <c r="H144" t="s">
        <v>858</v>
      </c>
      <c r="M144" s="139">
        <v>44092</v>
      </c>
      <c r="O144" t="s">
        <v>1425</v>
      </c>
      <c r="U144" s="139">
        <v>44182</v>
      </c>
    </row>
    <row r="145" spans="1:21">
      <c r="A145" t="s">
        <v>290</v>
      </c>
      <c r="F145" s="139">
        <v>44122</v>
      </c>
      <c r="H145" t="s">
        <v>859</v>
      </c>
      <c r="M145" s="139">
        <v>44102</v>
      </c>
      <c r="O145" t="s">
        <v>1426</v>
      </c>
      <c r="U145" s="139">
        <v>44192</v>
      </c>
    </row>
    <row r="146" spans="1:21">
      <c r="A146" t="s">
        <v>291</v>
      </c>
      <c r="F146" s="139">
        <v>44132</v>
      </c>
      <c r="H146" t="s">
        <v>860</v>
      </c>
      <c r="M146" s="139">
        <v>44112</v>
      </c>
      <c r="O146" t="s">
        <v>1427</v>
      </c>
      <c r="U146" s="139">
        <v>44202</v>
      </c>
    </row>
    <row r="147" spans="1:21">
      <c r="A147" t="s">
        <v>292</v>
      </c>
      <c r="F147" s="139">
        <v>44142</v>
      </c>
      <c r="H147" t="s">
        <v>861</v>
      </c>
      <c r="M147" s="139">
        <v>44122</v>
      </c>
      <c r="O147" t="s">
        <v>1428</v>
      </c>
      <c r="U147" s="139">
        <v>44212</v>
      </c>
    </row>
    <row r="148" spans="1:21">
      <c r="A148" t="s">
        <v>293</v>
      </c>
      <c r="F148" s="139">
        <v>44152</v>
      </c>
      <c r="H148" t="s">
        <v>862</v>
      </c>
      <c r="M148" s="139">
        <v>44132</v>
      </c>
      <c r="O148" t="s">
        <v>1429</v>
      </c>
      <c r="U148" s="139">
        <v>44222</v>
      </c>
    </row>
    <row r="149" spans="1:21">
      <c r="A149" t="s">
        <v>294</v>
      </c>
      <c r="F149" s="139">
        <v>44162</v>
      </c>
      <c r="H149" t="s">
        <v>863</v>
      </c>
      <c r="M149" s="139">
        <v>44142</v>
      </c>
      <c r="O149" t="s">
        <v>1430</v>
      </c>
      <c r="U149" s="139">
        <v>44232</v>
      </c>
    </row>
    <row r="150" spans="1:21">
      <c r="A150" t="s">
        <v>295</v>
      </c>
      <c r="F150" s="139">
        <v>44172</v>
      </c>
      <c r="H150" t="s">
        <v>864</v>
      </c>
      <c r="M150" s="139">
        <v>44152</v>
      </c>
      <c r="O150" t="s">
        <v>1431</v>
      </c>
      <c r="U150" s="139">
        <v>44242</v>
      </c>
    </row>
    <row r="151" spans="1:21">
      <c r="A151" t="s">
        <v>296</v>
      </c>
      <c r="F151" s="139">
        <v>44182</v>
      </c>
      <c r="H151" t="s">
        <v>865</v>
      </c>
      <c r="M151" s="139">
        <v>44162</v>
      </c>
      <c r="O151" t="s">
        <v>1432</v>
      </c>
      <c r="U151" s="139">
        <v>44252</v>
      </c>
    </row>
    <row r="152" spans="1:21">
      <c r="A152" t="s">
        <v>297</v>
      </c>
      <c r="F152" s="139">
        <v>44192</v>
      </c>
      <c r="H152" t="s">
        <v>866</v>
      </c>
      <c r="M152" s="139">
        <v>44172</v>
      </c>
      <c r="O152" t="s">
        <v>1433</v>
      </c>
      <c r="U152" s="139">
        <v>44262</v>
      </c>
    </row>
    <row r="153" spans="1:21">
      <c r="A153" t="s">
        <v>298</v>
      </c>
      <c r="F153" s="139">
        <v>44202</v>
      </c>
      <c r="H153" t="s">
        <v>867</v>
      </c>
      <c r="M153" s="139">
        <v>44182</v>
      </c>
      <c r="O153" t="s">
        <v>1434</v>
      </c>
      <c r="U153" s="139">
        <v>44272</v>
      </c>
    </row>
    <row r="154" spans="1:21">
      <c r="A154" t="s">
        <v>299</v>
      </c>
      <c r="F154" s="139">
        <v>44212</v>
      </c>
      <c r="H154" t="s">
        <v>868</v>
      </c>
      <c r="M154" s="139">
        <v>44192</v>
      </c>
      <c r="O154" t="s">
        <v>1435</v>
      </c>
      <c r="U154" s="139">
        <v>44282</v>
      </c>
    </row>
    <row r="155" spans="1:21">
      <c r="A155" t="s">
        <v>300</v>
      </c>
      <c r="F155" s="139">
        <v>44222</v>
      </c>
      <c r="H155" t="s">
        <v>869</v>
      </c>
      <c r="M155" s="139">
        <v>44202</v>
      </c>
      <c r="O155" t="s">
        <v>1436</v>
      </c>
      <c r="U155" s="139">
        <v>44292</v>
      </c>
    </row>
    <row r="156" spans="1:21">
      <c r="A156" t="s">
        <v>301</v>
      </c>
      <c r="F156" s="139">
        <v>44232</v>
      </c>
      <c r="H156" t="s">
        <v>870</v>
      </c>
      <c r="M156" s="139">
        <v>44212</v>
      </c>
      <c r="O156" t="s">
        <v>1437</v>
      </c>
    </row>
    <row r="157" spans="1:21">
      <c r="A157" t="s">
        <v>302</v>
      </c>
      <c r="F157" s="139">
        <v>44242</v>
      </c>
      <c r="H157" t="s">
        <v>871</v>
      </c>
      <c r="M157" s="139">
        <v>44222</v>
      </c>
      <c r="O157" t="s">
        <v>1438</v>
      </c>
    </row>
    <row r="158" spans="1:21">
      <c r="A158" t="s">
        <v>303</v>
      </c>
      <c r="F158" s="139">
        <v>44252</v>
      </c>
      <c r="H158" t="s">
        <v>872</v>
      </c>
      <c r="M158" s="139">
        <v>44232</v>
      </c>
      <c r="O158" t="s">
        <v>1439</v>
      </c>
    </row>
    <row r="159" spans="1:21">
      <c r="A159" t="s">
        <v>304</v>
      </c>
      <c r="F159" s="139">
        <v>44262</v>
      </c>
      <c r="H159" t="s">
        <v>873</v>
      </c>
      <c r="M159" s="139">
        <v>44242</v>
      </c>
      <c r="O159" t="s">
        <v>1440</v>
      </c>
    </row>
    <row r="160" spans="1:21">
      <c r="A160" t="s">
        <v>305</v>
      </c>
      <c r="F160" s="139">
        <v>44272</v>
      </c>
      <c r="H160" t="s">
        <v>874</v>
      </c>
      <c r="M160" s="139">
        <v>44252</v>
      </c>
      <c r="O160" t="s">
        <v>1441</v>
      </c>
    </row>
    <row r="161" spans="1:15">
      <c r="A161" t="s">
        <v>306</v>
      </c>
      <c r="F161" s="139">
        <v>44282</v>
      </c>
      <c r="H161" t="s">
        <v>875</v>
      </c>
      <c r="M161" s="139">
        <v>44262</v>
      </c>
      <c r="O161" t="s">
        <v>1442</v>
      </c>
    </row>
    <row r="162" spans="1:15">
      <c r="A162" t="s">
        <v>307</v>
      </c>
      <c r="F162" s="139">
        <v>44292</v>
      </c>
      <c r="H162" t="s">
        <v>876</v>
      </c>
      <c r="M162" s="139">
        <v>44272</v>
      </c>
      <c r="O162" t="s">
        <v>1443</v>
      </c>
    </row>
    <row r="163" spans="1:15">
      <c r="A163" t="s">
        <v>308</v>
      </c>
      <c r="H163" t="s">
        <v>877</v>
      </c>
      <c r="M163" s="139">
        <v>44282</v>
      </c>
      <c r="O163" t="s">
        <v>1444</v>
      </c>
    </row>
    <row r="164" spans="1:15">
      <c r="A164" t="s">
        <v>309</v>
      </c>
      <c r="H164" t="s">
        <v>878</v>
      </c>
      <c r="M164" s="139">
        <v>44292</v>
      </c>
      <c r="O164" t="s">
        <v>1445</v>
      </c>
    </row>
    <row r="165" spans="1:15">
      <c r="A165" t="s">
        <v>310</v>
      </c>
      <c r="H165" t="s">
        <v>879</v>
      </c>
      <c r="O165" t="s">
        <v>1446</v>
      </c>
    </row>
    <row r="166" spans="1:15">
      <c r="A166" t="s">
        <v>311</v>
      </c>
      <c r="H166" t="s">
        <v>880</v>
      </c>
      <c r="O166" t="s">
        <v>1447</v>
      </c>
    </row>
    <row r="167" spans="1:15">
      <c r="A167" t="s">
        <v>311</v>
      </c>
      <c r="H167" t="s">
        <v>881</v>
      </c>
      <c r="O167" t="s">
        <v>1448</v>
      </c>
    </row>
    <row r="168" spans="1:15">
      <c r="A168" t="s">
        <v>312</v>
      </c>
      <c r="H168" t="s">
        <v>882</v>
      </c>
      <c r="O168" t="s">
        <v>1449</v>
      </c>
    </row>
    <row r="169" spans="1:15">
      <c r="A169" t="s">
        <v>313</v>
      </c>
      <c r="H169" t="s">
        <v>882</v>
      </c>
      <c r="O169" t="s">
        <v>1450</v>
      </c>
    </row>
    <row r="170" spans="1:15">
      <c r="A170" t="s">
        <v>314</v>
      </c>
      <c r="H170" t="s">
        <v>883</v>
      </c>
      <c r="O170" t="s">
        <v>1451</v>
      </c>
    </row>
    <row r="171" spans="1:15">
      <c r="A171" t="s">
        <v>315</v>
      </c>
      <c r="H171" t="s">
        <v>884</v>
      </c>
      <c r="O171" t="s">
        <v>1452</v>
      </c>
    </row>
    <row r="172" spans="1:15">
      <c r="A172" t="s">
        <v>316</v>
      </c>
      <c r="H172" t="s">
        <v>885</v>
      </c>
      <c r="O172" t="s">
        <v>1451</v>
      </c>
    </row>
    <row r="173" spans="1:15">
      <c r="A173" t="s">
        <v>317</v>
      </c>
      <c r="H173" t="s">
        <v>886</v>
      </c>
      <c r="O173" t="s">
        <v>1453</v>
      </c>
    </row>
    <row r="174" spans="1:15">
      <c r="A174" t="s">
        <v>318</v>
      </c>
      <c r="H174" t="s">
        <v>887</v>
      </c>
      <c r="O174" t="s">
        <v>1454</v>
      </c>
    </row>
    <row r="175" spans="1:15">
      <c r="A175" t="s">
        <v>319</v>
      </c>
      <c r="H175" t="s">
        <v>888</v>
      </c>
      <c r="O175" t="s">
        <v>1455</v>
      </c>
    </row>
    <row r="176" spans="1:15">
      <c r="A176" t="s">
        <v>320</v>
      </c>
      <c r="H176" t="s">
        <v>889</v>
      </c>
      <c r="O176" t="s">
        <v>1456</v>
      </c>
    </row>
    <row r="177" spans="1:15">
      <c r="A177" t="s">
        <v>321</v>
      </c>
      <c r="H177" t="s">
        <v>890</v>
      </c>
      <c r="O177" t="s">
        <v>1457</v>
      </c>
    </row>
    <row r="178" spans="1:15">
      <c r="A178" t="s">
        <v>322</v>
      </c>
      <c r="H178" t="s">
        <v>891</v>
      </c>
      <c r="O178" t="s">
        <v>1458</v>
      </c>
    </row>
    <row r="179" spans="1:15">
      <c r="A179" t="s">
        <v>323</v>
      </c>
      <c r="H179" t="s">
        <v>892</v>
      </c>
      <c r="O179" t="s">
        <v>1459</v>
      </c>
    </row>
    <row r="180" spans="1:15">
      <c r="A180" t="s">
        <v>324</v>
      </c>
      <c r="H180" t="s">
        <v>893</v>
      </c>
      <c r="O180" t="s">
        <v>1460</v>
      </c>
    </row>
    <row r="181" spans="1:15">
      <c r="A181" t="s">
        <v>325</v>
      </c>
      <c r="H181" t="s">
        <v>894</v>
      </c>
      <c r="O181" t="s">
        <v>1461</v>
      </c>
    </row>
    <row r="182" spans="1:15">
      <c r="A182" t="s">
        <v>326</v>
      </c>
      <c r="H182" t="s">
        <v>895</v>
      </c>
      <c r="O182" t="s">
        <v>1462</v>
      </c>
    </row>
    <row r="183" spans="1:15">
      <c r="A183" t="s">
        <v>327</v>
      </c>
      <c r="H183" t="s">
        <v>896</v>
      </c>
      <c r="O183" t="s">
        <v>1463</v>
      </c>
    </row>
    <row r="184" spans="1:15">
      <c r="A184" t="s">
        <v>328</v>
      </c>
      <c r="H184" t="s">
        <v>897</v>
      </c>
      <c r="O184" t="s">
        <v>1464</v>
      </c>
    </row>
    <row r="185" spans="1:15">
      <c r="A185" t="s">
        <v>329</v>
      </c>
      <c r="H185" t="s">
        <v>898</v>
      </c>
      <c r="O185" t="s">
        <v>1465</v>
      </c>
    </row>
    <row r="186" spans="1:15">
      <c r="A186" t="s">
        <v>330</v>
      </c>
      <c r="H186" t="s">
        <v>899</v>
      </c>
      <c r="O186" t="s">
        <v>1466</v>
      </c>
    </row>
    <row r="187" spans="1:15">
      <c r="A187" t="s">
        <v>331</v>
      </c>
      <c r="H187" t="s">
        <v>900</v>
      </c>
      <c r="O187" t="s">
        <v>1467</v>
      </c>
    </row>
    <row r="188" spans="1:15">
      <c r="A188" t="s">
        <v>332</v>
      </c>
      <c r="H188" t="s">
        <v>901</v>
      </c>
      <c r="O188" t="s">
        <v>1468</v>
      </c>
    </row>
    <row r="189" spans="1:15">
      <c r="A189" t="s">
        <v>333</v>
      </c>
      <c r="H189" t="s">
        <v>902</v>
      </c>
      <c r="O189" t="s">
        <v>1469</v>
      </c>
    </row>
    <row r="190" spans="1:15">
      <c r="A190" t="s">
        <v>334</v>
      </c>
      <c r="H190" t="s">
        <v>903</v>
      </c>
      <c r="O190" t="s">
        <v>1470</v>
      </c>
    </row>
    <row r="191" spans="1:15">
      <c r="A191" t="s">
        <v>335</v>
      </c>
      <c r="H191" t="s">
        <v>904</v>
      </c>
      <c r="O191" t="s">
        <v>1471</v>
      </c>
    </row>
    <row r="192" spans="1:15">
      <c r="A192" t="s">
        <v>336</v>
      </c>
      <c r="H192" t="s">
        <v>905</v>
      </c>
      <c r="O192" t="s">
        <v>1472</v>
      </c>
    </row>
    <row r="193" spans="1:15">
      <c r="A193" t="s">
        <v>337</v>
      </c>
      <c r="H193" t="s">
        <v>906</v>
      </c>
      <c r="O193" t="s">
        <v>1473</v>
      </c>
    </row>
    <row r="194" spans="1:15">
      <c r="A194" t="s">
        <v>338</v>
      </c>
      <c r="H194" t="s">
        <v>907</v>
      </c>
      <c r="O194" t="s">
        <v>1474</v>
      </c>
    </row>
    <row r="195" spans="1:15">
      <c r="A195" t="s">
        <v>339</v>
      </c>
      <c r="H195" t="s">
        <v>908</v>
      </c>
      <c r="O195" t="s">
        <v>1475</v>
      </c>
    </row>
    <row r="196" spans="1:15">
      <c r="A196" t="s">
        <v>340</v>
      </c>
      <c r="H196" t="s">
        <v>909</v>
      </c>
      <c r="O196" t="s">
        <v>1476</v>
      </c>
    </row>
    <row r="197" spans="1:15">
      <c r="A197" t="s">
        <v>341</v>
      </c>
      <c r="H197" t="s">
        <v>910</v>
      </c>
      <c r="O197" t="s">
        <v>1477</v>
      </c>
    </row>
    <row r="198" spans="1:15">
      <c r="A198" t="s">
        <v>342</v>
      </c>
      <c r="H198" t="s">
        <v>911</v>
      </c>
      <c r="O198" t="s">
        <v>1478</v>
      </c>
    </row>
    <row r="199" spans="1:15">
      <c r="A199" t="s">
        <v>343</v>
      </c>
      <c r="H199" t="s">
        <v>912</v>
      </c>
      <c r="O199" t="s">
        <v>1479</v>
      </c>
    </row>
    <row r="200" spans="1:15">
      <c r="A200" t="s">
        <v>344</v>
      </c>
      <c r="H200" t="s">
        <v>913</v>
      </c>
      <c r="O200" t="s">
        <v>1480</v>
      </c>
    </row>
    <row r="201" spans="1:15">
      <c r="A201" t="s">
        <v>345</v>
      </c>
      <c r="H201" t="s">
        <v>914</v>
      </c>
      <c r="O201" t="s">
        <v>1481</v>
      </c>
    </row>
    <row r="202" spans="1:15">
      <c r="A202" t="s">
        <v>346</v>
      </c>
      <c r="H202" t="s">
        <v>915</v>
      </c>
      <c r="O202" t="s">
        <v>1482</v>
      </c>
    </row>
    <row r="203" spans="1:15">
      <c r="A203" t="s">
        <v>347</v>
      </c>
      <c r="H203" t="s">
        <v>916</v>
      </c>
      <c r="O203" t="s">
        <v>1483</v>
      </c>
    </row>
    <row r="204" spans="1:15">
      <c r="A204" t="s">
        <v>348</v>
      </c>
      <c r="H204" t="s">
        <v>917</v>
      </c>
      <c r="O204" t="s">
        <v>1484</v>
      </c>
    </row>
    <row r="205" spans="1:15">
      <c r="A205" t="s">
        <v>349</v>
      </c>
      <c r="H205" t="s">
        <v>918</v>
      </c>
      <c r="O205" t="s">
        <v>1485</v>
      </c>
    </row>
    <row r="206" spans="1:15">
      <c r="A206" t="s">
        <v>350</v>
      </c>
      <c r="H206" t="s">
        <v>919</v>
      </c>
      <c r="O206" t="s">
        <v>1486</v>
      </c>
    </row>
    <row r="207" spans="1:15">
      <c r="A207" t="s">
        <v>351</v>
      </c>
      <c r="H207" t="s">
        <v>920</v>
      </c>
      <c r="O207" t="s">
        <v>1487</v>
      </c>
    </row>
    <row r="208" spans="1:15">
      <c r="A208" t="s">
        <v>352</v>
      </c>
      <c r="H208" t="s">
        <v>921</v>
      </c>
      <c r="O208" t="s">
        <v>1488</v>
      </c>
    </row>
    <row r="209" spans="1:15">
      <c r="A209" t="s">
        <v>353</v>
      </c>
      <c r="H209" t="s">
        <v>922</v>
      </c>
      <c r="O209" t="s">
        <v>1489</v>
      </c>
    </row>
    <row r="210" spans="1:15">
      <c r="A210" t="s">
        <v>354</v>
      </c>
      <c r="H210" t="s">
        <v>923</v>
      </c>
      <c r="O210" t="s">
        <v>1490</v>
      </c>
    </row>
    <row r="211" spans="1:15">
      <c r="A211" t="s">
        <v>355</v>
      </c>
      <c r="H211" t="s">
        <v>924</v>
      </c>
      <c r="O211" t="s">
        <v>1491</v>
      </c>
    </row>
    <row r="212" spans="1:15">
      <c r="A212" t="s">
        <v>356</v>
      </c>
      <c r="H212" t="s">
        <v>925</v>
      </c>
      <c r="O212" t="s">
        <v>1492</v>
      </c>
    </row>
    <row r="213" spans="1:15">
      <c r="A213" t="s">
        <v>357</v>
      </c>
      <c r="H213" t="s">
        <v>926</v>
      </c>
      <c r="O213" t="s">
        <v>1493</v>
      </c>
    </row>
    <row r="214" spans="1:15">
      <c r="A214" t="s">
        <v>358</v>
      </c>
      <c r="H214" t="s">
        <v>927</v>
      </c>
      <c r="O214" t="s">
        <v>1494</v>
      </c>
    </row>
    <row r="215" spans="1:15">
      <c r="A215" t="s">
        <v>359</v>
      </c>
      <c r="H215" t="s">
        <v>928</v>
      </c>
      <c r="O215" t="s">
        <v>1495</v>
      </c>
    </row>
    <row r="216" spans="1:15">
      <c r="A216" t="s">
        <v>360</v>
      </c>
      <c r="H216" t="s">
        <v>929</v>
      </c>
      <c r="O216" t="s">
        <v>1496</v>
      </c>
    </row>
    <row r="217" spans="1:15">
      <c r="A217" t="s">
        <v>361</v>
      </c>
      <c r="H217" t="s">
        <v>930</v>
      </c>
      <c r="O217" t="s">
        <v>1497</v>
      </c>
    </row>
    <row r="218" spans="1:15">
      <c r="A218" t="s">
        <v>362</v>
      </c>
      <c r="H218" t="s">
        <v>931</v>
      </c>
      <c r="O218" t="s">
        <v>1498</v>
      </c>
    </row>
    <row r="219" spans="1:15">
      <c r="A219" t="s">
        <v>363</v>
      </c>
      <c r="H219" t="s">
        <v>932</v>
      </c>
      <c r="O219" t="s">
        <v>1499</v>
      </c>
    </row>
    <row r="220" spans="1:15">
      <c r="A220" t="s">
        <v>364</v>
      </c>
      <c r="H220" t="s">
        <v>933</v>
      </c>
      <c r="O220" t="s">
        <v>1500</v>
      </c>
    </row>
    <row r="221" spans="1:15">
      <c r="A221" t="s">
        <v>365</v>
      </c>
      <c r="H221" t="s">
        <v>934</v>
      </c>
      <c r="O221" t="s">
        <v>1501</v>
      </c>
    </row>
    <row r="222" spans="1:15">
      <c r="A222" t="s">
        <v>366</v>
      </c>
      <c r="H222" t="s">
        <v>935</v>
      </c>
      <c r="O222" t="s">
        <v>1502</v>
      </c>
    </row>
    <row r="223" spans="1:15">
      <c r="A223" t="s">
        <v>367</v>
      </c>
      <c r="H223" t="s">
        <v>936</v>
      </c>
      <c r="O223" t="s">
        <v>1503</v>
      </c>
    </row>
    <row r="224" spans="1:15">
      <c r="A224" t="s">
        <v>368</v>
      </c>
      <c r="H224" t="s">
        <v>937</v>
      </c>
      <c r="O224" t="s">
        <v>1504</v>
      </c>
    </row>
    <row r="225" spans="1:15">
      <c r="A225" t="s">
        <v>369</v>
      </c>
      <c r="H225" t="s">
        <v>938</v>
      </c>
      <c r="O225" t="s">
        <v>1505</v>
      </c>
    </row>
    <row r="226" spans="1:15">
      <c r="A226" t="s">
        <v>370</v>
      </c>
      <c r="H226" t="s">
        <v>939</v>
      </c>
      <c r="O226" t="s">
        <v>1506</v>
      </c>
    </row>
    <row r="227" spans="1:15">
      <c r="A227" t="s">
        <v>371</v>
      </c>
      <c r="H227" t="s">
        <v>940</v>
      </c>
      <c r="O227" t="s">
        <v>1505</v>
      </c>
    </row>
    <row r="228" spans="1:15">
      <c r="A228" t="s">
        <v>372</v>
      </c>
      <c r="H228" t="s">
        <v>941</v>
      </c>
      <c r="O228" t="s">
        <v>1507</v>
      </c>
    </row>
    <row r="229" spans="1:15">
      <c r="A229" t="s">
        <v>373</v>
      </c>
      <c r="H229" t="s">
        <v>942</v>
      </c>
      <c r="O229" t="s">
        <v>1508</v>
      </c>
    </row>
    <row r="230" spans="1:15">
      <c r="A230" t="s">
        <v>374</v>
      </c>
      <c r="H230" t="s">
        <v>943</v>
      </c>
      <c r="O230" t="s">
        <v>1509</v>
      </c>
    </row>
    <row r="231" spans="1:15">
      <c r="A231" t="s">
        <v>375</v>
      </c>
      <c r="H231" t="s">
        <v>944</v>
      </c>
      <c r="O231" t="s">
        <v>1510</v>
      </c>
    </row>
    <row r="232" spans="1:15">
      <c r="A232" t="s">
        <v>376</v>
      </c>
      <c r="H232" t="s">
        <v>945</v>
      </c>
      <c r="O232" t="s">
        <v>1511</v>
      </c>
    </row>
    <row r="233" spans="1:15">
      <c r="A233" t="s">
        <v>377</v>
      </c>
      <c r="H233" t="s">
        <v>946</v>
      </c>
      <c r="O233" t="s">
        <v>1512</v>
      </c>
    </row>
    <row r="234" spans="1:15">
      <c r="A234" t="s">
        <v>378</v>
      </c>
      <c r="H234" t="s">
        <v>947</v>
      </c>
      <c r="O234" t="s">
        <v>1513</v>
      </c>
    </row>
    <row r="235" spans="1:15">
      <c r="A235" t="s">
        <v>379</v>
      </c>
      <c r="H235" t="s">
        <v>948</v>
      </c>
      <c r="O235" t="s">
        <v>1514</v>
      </c>
    </row>
    <row r="236" spans="1:15">
      <c r="A236" t="s">
        <v>380</v>
      </c>
      <c r="H236" t="s">
        <v>949</v>
      </c>
      <c r="O236" t="s">
        <v>1515</v>
      </c>
    </row>
    <row r="237" spans="1:15">
      <c r="A237" t="s">
        <v>381</v>
      </c>
      <c r="H237" t="s">
        <v>950</v>
      </c>
      <c r="O237" t="s">
        <v>1516</v>
      </c>
    </row>
    <row r="238" spans="1:15">
      <c r="A238" t="s">
        <v>382</v>
      </c>
      <c r="H238" t="s">
        <v>951</v>
      </c>
      <c r="O238" t="s">
        <v>1517</v>
      </c>
    </row>
    <row r="239" spans="1:15">
      <c r="A239" t="s">
        <v>383</v>
      </c>
      <c r="H239" t="s">
        <v>952</v>
      </c>
      <c r="O239" t="s">
        <v>1518</v>
      </c>
    </row>
    <row r="240" spans="1:15">
      <c r="A240" t="s">
        <v>384</v>
      </c>
      <c r="H240" t="s">
        <v>953</v>
      </c>
      <c r="O240" t="s">
        <v>1519</v>
      </c>
    </row>
    <row r="241" spans="1:15">
      <c r="A241" t="s">
        <v>385</v>
      </c>
      <c r="H241" t="s">
        <v>954</v>
      </c>
      <c r="O241" t="s">
        <v>1520</v>
      </c>
    </row>
    <row r="242" spans="1:15">
      <c r="A242" t="s">
        <v>386</v>
      </c>
      <c r="H242" t="s">
        <v>955</v>
      </c>
      <c r="O242" t="s">
        <v>1521</v>
      </c>
    </row>
    <row r="243" spans="1:15">
      <c r="A243" t="s">
        <v>387</v>
      </c>
      <c r="H243" t="s">
        <v>956</v>
      </c>
      <c r="O243" t="s">
        <v>1522</v>
      </c>
    </row>
    <row r="244" spans="1:15">
      <c r="A244" t="s">
        <v>388</v>
      </c>
      <c r="H244" t="s">
        <v>957</v>
      </c>
      <c r="O244" t="s">
        <v>1523</v>
      </c>
    </row>
    <row r="245" spans="1:15">
      <c r="A245" t="s">
        <v>389</v>
      </c>
      <c r="H245" t="s">
        <v>958</v>
      </c>
      <c r="O245" t="s">
        <v>1524</v>
      </c>
    </row>
    <row r="246" spans="1:15">
      <c r="A246" t="s">
        <v>390</v>
      </c>
      <c r="H246" t="s">
        <v>959</v>
      </c>
      <c r="O246" t="s">
        <v>1525</v>
      </c>
    </row>
    <row r="247" spans="1:15">
      <c r="A247" t="s">
        <v>391</v>
      </c>
      <c r="H247" t="s">
        <v>960</v>
      </c>
      <c r="O247" t="s">
        <v>1526</v>
      </c>
    </row>
    <row r="248" spans="1:15">
      <c r="A248" t="s">
        <v>392</v>
      </c>
      <c r="H248" t="s">
        <v>961</v>
      </c>
      <c r="O248" t="s">
        <v>1527</v>
      </c>
    </row>
    <row r="249" spans="1:15">
      <c r="A249" t="s">
        <v>393</v>
      </c>
      <c r="H249" t="s">
        <v>962</v>
      </c>
      <c r="O249" t="s">
        <v>1528</v>
      </c>
    </row>
    <row r="250" spans="1:15">
      <c r="A250" t="s">
        <v>394</v>
      </c>
      <c r="H250" t="s">
        <v>963</v>
      </c>
      <c r="O250" t="s">
        <v>1529</v>
      </c>
    </row>
    <row r="251" spans="1:15">
      <c r="A251" t="s">
        <v>395</v>
      </c>
      <c r="H251" t="s">
        <v>964</v>
      </c>
      <c r="O251" t="s">
        <v>1530</v>
      </c>
    </row>
    <row r="252" spans="1:15">
      <c r="A252" t="s">
        <v>396</v>
      </c>
      <c r="H252" t="s">
        <v>965</v>
      </c>
      <c r="O252" t="s">
        <v>1531</v>
      </c>
    </row>
    <row r="253" spans="1:15">
      <c r="A253" t="s">
        <v>397</v>
      </c>
      <c r="H253" t="s">
        <v>966</v>
      </c>
      <c r="O253" t="s">
        <v>1532</v>
      </c>
    </row>
    <row r="254" spans="1:15">
      <c r="A254" t="s">
        <v>398</v>
      </c>
      <c r="H254" t="s">
        <v>967</v>
      </c>
      <c r="O254" t="s">
        <v>1533</v>
      </c>
    </row>
    <row r="255" spans="1:15">
      <c r="A255" t="s">
        <v>399</v>
      </c>
      <c r="H255" t="s">
        <v>968</v>
      </c>
      <c r="O255" t="s">
        <v>1534</v>
      </c>
    </row>
    <row r="256" spans="1:15">
      <c r="A256" t="s">
        <v>400</v>
      </c>
      <c r="H256" t="s">
        <v>969</v>
      </c>
      <c r="O256" t="s">
        <v>1535</v>
      </c>
    </row>
    <row r="257" spans="1:15">
      <c r="A257" t="s">
        <v>401</v>
      </c>
      <c r="H257" t="s">
        <v>970</v>
      </c>
      <c r="O257" t="s">
        <v>1536</v>
      </c>
    </row>
    <row r="258" spans="1:15">
      <c r="A258" t="s">
        <v>402</v>
      </c>
      <c r="H258" t="s">
        <v>971</v>
      </c>
      <c r="O258" t="s">
        <v>1537</v>
      </c>
    </row>
    <row r="259" spans="1:15">
      <c r="A259" t="s">
        <v>403</v>
      </c>
      <c r="H259" t="s">
        <v>972</v>
      </c>
      <c r="O259" t="s">
        <v>1538</v>
      </c>
    </row>
    <row r="260" spans="1:15">
      <c r="A260" t="s">
        <v>404</v>
      </c>
      <c r="H260" t="s">
        <v>973</v>
      </c>
      <c r="O260" t="s">
        <v>1539</v>
      </c>
    </row>
    <row r="261" spans="1:15">
      <c r="A261" t="s">
        <v>405</v>
      </c>
      <c r="H261" t="s">
        <v>974</v>
      </c>
      <c r="O261" t="s">
        <v>1540</v>
      </c>
    </row>
    <row r="262" spans="1:15">
      <c r="A262" t="s">
        <v>406</v>
      </c>
      <c r="H262" t="s">
        <v>975</v>
      </c>
      <c r="O262" t="s">
        <v>1541</v>
      </c>
    </row>
    <row r="263" spans="1:15">
      <c r="A263" t="s">
        <v>407</v>
      </c>
      <c r="H263" t="s">
        <v>976</v>
      </c>
      <c r="O263" t="s">
        <v>1542</v>
      </c>
    </row>
    <row r="264" spans="1:15">
      <c r="A264" t="s">
        <v>408</v>
      </c>
      <c r="H264" t="s">
        <v>977</v>
      </c>
      <c r="O264" t="s">
        <v>1543</v>
      </c>
    </row>
    <row r="265" spans="1:15">
      <c r="A265" t="s">
        <v>409</v>
      </c>
      <c r="H265" t="s">
        <v>978</v>
      </c>
      <c r="O265" t="s">
        <v>1544</v>
      </c>
    </row>
    <row r="266" spans="1:15">
      <c r="A266" t="s">
        <v>410</v>
      </c>
      <c r="H266" t="s">
        <v>979</v>
      </c>
      <c r="O266" t="s">
        <v>1545</v>
      </c>
    </row>
    <row r="267" spans="1:15">
      <c r="A267" t="s">
        <v>411</v>
      </c>
      <c r="H267" t="s">
        <v>980</v>
      </c>
      <c r="O267" t="s">
        <v>1546</v>
      </c>
    </row>
    <row r="268" spans="1:15">
      <c r="A268" t="s">
        <v>412</v>
      </c>
      <c r="H268" t="s">
        <v>981</v>
      </c>
      <c r="O268" t="s">
        <v>1547</v>
      </c>
    </row>
    <row r="269" spans="1:15">
      <c r="A269" t="s">
        <v>413</v>
      </c>
      <c r="H269" t="s">
        <v>982</v>
      </c>
      <c r="O269" t="s">
        <v>1548</v>
      </c>
    </row>
    <row r="270" spans="1:15">
      <c r="A270" t="s">
        <v>414</v>
      </c>
      <c r="H270" t="s">
        <v>983</v>
      </c>
      <c r="O270" t="s">
        <v>1549</v>
      </c>
    </row>
    <row r="271" spans="1:15">
      <c r="A271" t="s">
        <v>415</v>
      </c>
      <c r="H271" t="s">
        <v>984</v>
      </c>
      <c r="O271" t="s">
        <v>1550</v>
      </c>
    </row>
    <row r="272" spans="1:15">
      <c r="A272" t="s">
        <v>416</v>
      </c>
      <c r="H272" t="s">
        <v>985</v>
      </c>
      <c r="O272" t="s">
        <v>1551</v>
      </c>
    </row>
    <row r="273" spans="1:15">
      <c r="A273" t="s">
        <v>417</v>
      </c>
      <c r="H273" t="s">
        <v>986</v>
      </c>
      <c r="O273" t="s">
        <v>1552</v>
      </c>
    </row>
    <row r="274" spans="1:15">
      <c r="A274" t="s">
        <v>418</v>
      </c>
      <c r="H274" t="s">
        <v>987</v>
      </c>
      <c r="O274" t="s">
        <v>1553</v>
      </c>
    </row>
    <row r="275" spans="1:15">
      <c r="A275" t="s">
        <v>419</v>
      </c>
      <c r="H275" t="s">
        <v>988</v>
      </c>
      <c r="O275" t="s">
        <v>1554</v>
      </c>
    </row>
    <row r="276" spans="1:15">
      <c r="A276" t="s">
        <v>420</v>
      </c>
      <c r="H276" t="s">
        <v>989</v>
      </c>
      <c r="O276" t="s">
        <v>1555</v>
      </c>
    </row>
    <row r="277" spans="1:15">
      <c r="A277" t="s">
        <v>421</v>
      </c>
      <c r="H277" t="s">
        <v>990</v>
      </c>
      <c r="O277" t="s">
        <v>1556</v>
      </c>
    </row>
    <row r="278" spans="1:15">
      <c r="A278" t="s">
        <v>422</v>
      </c>
      <c r="H278" t="s">
        <v>991</v>
      </c>
      <c r="O278" t="s">
        <v>1557</v>
      </c>
    </row>
    <row r="279" spans="1:15">
      <c r="A279" t="s">
        <v>423</v>
      </c>
      <c r="H279" t="s">
        <v>992</v>
      </c>
      <c r="O279" t="s">
        <v>1558</v>
      </c>
    </row>
    <row r="280" spans="1:15">
      <c r="A280" t="s">
        <v>424</v>
      </c>
      <c r="H280" t="s">
        <v>993</v>
      </c>
      <c r="O280" t="s">
        <v>1559</v>
      </c>
    </row>
    <row r="281" spans="1:15">
      <c r="A281" t="s">
        <v>425</v>
      </c>
      <c r="H281" t="s">
        <v>994</v>
      </c>
      <c r="O281" t="s">
        <v>1560</v>
      </c>
    </row>
    <row r="282" spans="1:15">
      <c r="A282" t="s">
        <v>426</v>
      </c>
      <c r="H282" t="s">
        <v>995</v>
      </c>
      <c r="O282" t="s">
        <v>1559</v>
      </c>
    </row>
    <row r="283" spans="1:15">
      <c r="A283" t="s">
        <v>427</v>
      </c>
      <c r="H283" t="s">
        <v>996</v>
      </c>
      <c r="O283" t="s">
        <v>1561</v>
      </c>
    </row>
    <row r="284" spans="1:15">
      <c r="A284" t="s">
        <v>428</v>
      </c>
      <c r="H284" t="s">
        <v>997</v>
      </c>
      <c r="O284" t="s">
        <v>1562</v>
      </c>
    </row>
    <row r="285" spans="1:15">
      <c r="A285" t="s">
        <v>429</v>
      </c>
      <c r="H285" t="s">
        <v>998</v>
      </c>
      <c r="O285" t="s">
        <v>1563</v>
      </c>
    </row>
    <row r="286" spans="1:15">
      <c r="A286" t="s">
        <v>430</v>
      </c>
      <c r="H286" t="s">
        <v>999</v>
      </c>
      <c r="O286" t="s">
        <v>1564</v>
      </c>
    </row>
    <row r="287" spans="1:15">
      <c r="A287" t="s">
        <v>431</v>
      </c>
      <c r="H287" t="s">
        <v>1000</v>
      </c>
      <c r="O287" t="s">
        <v>1565</v>
      </c>
    </row>
    <row r="288" spans="1:15">
      <c r="A288" t="s">
        <v>432</v>
      </c>
      <c r="H288" t="s">
        <v>1001</v>
      </c>
      <c r="O288" t="s">
        <v>1566</v>
      </c>
    </row>
    <row r="289" spans="1:15">
      <c r="A289" t="s">
        <v>433</v>
      </c>
      <c r="H289" t="s">
        <v>1002</v>
      </c>
      <c r="O289" t="s">
        <v>1567</v>
      </c>
    </row>
    <row r="290" spans="1:15">
      <c r="A290" t="s">
        <v>434</v>
      </c>
      <c r="H290" t="s">
        <v>1003</v>
      </c>
      <c r="O290" t="s">
        <v>1568</v>
      </c>
    </row>
    <row r="291" spans="1:15">
      <c r="A291" t="s">
        <v>435</v>
      </c>
      <c r="H291" t="s">
        <v>1004</v>
      </c>
      <c r="O291" t="s">
        <v>1569</v>
      </c>
    </row>
    <row r="292" spans="1:15">
      <c r="A292" t="s">
        <v>436</v>
      </c>
      <c r="H292" t="s">
        <v>1005</v>
      </c>
      <c r="O292" t="s">
        <v>1570</v>
      </c>
    </row>
    <row r="293" spans="1:15">
      <c r="A293" t="s">
        <v>437</v>
      </c>
      <c r="H293" t="s">
        <v>1006</v>
      </c>
      <c r="O293" t="s">
        <v>1571</v>
      </c>
    </row>
    <row r="294" spans="1:15">
      <c r="A294" t="s">
        <v>438</v>
      </c>
      <c r="H294" t="s">
        <v>1007</v>
      </c>
      <c r="O294" t="s">
        <v>1572</v>
      </c>
    </row>
    <row r="295" spans="1:15">
      <c r="A295" t="s">
        <v>439</v>
      </c>
      <c r="H295" t="s">
        <v>1008</v>
      </c>
      <c r="O295" t="s">
        <v>1573</v>
      </c>
    </row>
    <row r="296" spans="1:15">
      <c r="A296" t="s">
        <v>440</v>
      </c>
      <c r="H296" t="s">
        <v>1009</v>
      </c>
      <c r="O296" t="s">
        <v>1574</v>
      </c>
    </row>
    <row r="297" spans="1:15">
      <c r="A297" t="s">
        <v>441</v>
      </c>
      <c r="H297" t="s">
        <v>1010</v>
      </c>
      <c r="O297" t="s">
        <v>1575</v>
      </c>
    </row>
    <row r="298" spans="1:15">
      <c r="A298" t="s">
        <v>442</v>
      </c>
      <c r="H298" t="s">
        <v>1011</v>
      </c>
      <c r="O298" t="s">
        <v>1576</v>
      </c>
    </row>
    <row r="299" spans="1:15">
      <c r="A299" t="s">
        <v>443</v>
      </c>
      <c r="H299" t="s">
        <v>1012</v>
      </c>
      <c r="O299" t="s">
        <v>1577</v>
      </c>
    </row>
    <row r="300" spans="1:15">
      <c r="A300" t="s">
        <v>444</v>
      </c>
      <c r="H300" t="s">
        <v>1013</v>
      </c>
      <c r="O300" t="s">
        <v>1578</v>
      </c>
    </row>
    <row r="301" spans="1:15">
      <c r="A301" t="s">
        <v>445</v>
      </c>
      <c r="H301" t="s">
        <v>1014</v>
      </c>
      <c r="O301" t="s">
        <v>1579</v>
      </c>
    </row>
    <row r="302" spans="1:15">
      <c r="A302" t="s">
        <v>446</v>
      </c>
      <c r="H302" t="s">
        <v>1015</v>
      </c>
      <c r="O302" t="s">
        <v>1580</v>
      </c>
    </row>
    <row r="303" spans="1:15">
      <c r="A303" t="s">
        <v>447</v>
      </c>
      <c r="H303" t="s">
        <v>1016</v>
      </c>
      <c r="O303" t="s">
        <v>1581</v>
      </c>
    </row>
    <row r="304" spans="1:15">
      <c r="A304" t="s">
        <v>448</v>
      </c>
      <c r="H304" t="s">
        <v>1017</v>
      </c>
      <c r="O304" t="s">
        <v>1582</v>
      </c>
    </row>
    <row r="305" spans="1:15">
      <c r="A305" t="s">
        <v>449</v>
      </c>
      <c r="H305" t="s">
        <v>1018</v>
      </c>
      <c r="O305" t="s">
        <v>1583</v>
      </c>
    </row>
    <row r="306" spans="1:15">
      <c r="A306" t="s">
        <v>450</v>
      </c>
      <c r="H306" t="s">
        <v>1019</v>
      </c>
      <c r="O306" t="s">
        <v>1584</v>
      </c>
    </row>
    <row r="307" spans="1:15">
      <c r="A307" t="s">
        <v>451</v>
      </c>
      <c r="H307" t="s">
        <v>1020</v>
      </c>
      <c r="O307" t="s">
        <v>1585</v>
      </c>
    </row>
    <row r="308" spans="1:15">
      <c r="A308" t="s">
        <v>452</v>
      </c>
      <c r="H308" t="s">
        <v>1021</v>
      </c>
      <c r="O308" t="s">
        <v>1586</v>
      </c>
    </row>
    <row r="309" spans="1:15">
      <c r="A309" t="s">
        <v>453</v>
      </c>
      <c r="H309" t="s">
        <v>1022</v>
      </c>
      <c r="O309" t="s">
        <v>1587</v>
      </c>
    </row>
    <row r="310" spans="1:15">
      <c r="A310" t="s">
        <v>454</v>
      </c>
      <c r="H310" t="s">
        <v>1023</v>
      </c>
      <c r="O310" t="s">
        <v>1588</v>
      </c>
    </row>
    <row r="311" spans="1:15">
      <c r="A311" t="s">
        <v>455</v>
      </c>
      <c r="H311" t="s">
        <v>1024</v>
      </c>
      <c r="O311" t="s">
        <v>1589</v>
      </c>
    </row>
    <row r="312" spans="1:15">
      <c r="A312" t="s">
        <v>456</v>
      </c>
      <c r="H312" t="s">
        <v>1025</v>
      </c>
      <c r="O312" t="s">
        <v>1590</v>
      </c>
    </row>
    <row r="313" spans="1:15">
      <c r="A313" t="s">
        <v>457</v>
      </c>
      <c r="H313" t="s">
        <v>1026</v>
      </c>
      <c r="O313" t="s">
        <v>1591</v>
      </c>
    </row>
    <row r="314" spans="1:15">
      <c r="A314" t="s">
        <v>458</v>
      </c>
      <c r="H314" t="s">
        <v>1027</v>
      </c>
      <c r="O314" t="s">
        <v>1592</v>
      </c>
    </row>
    <row r="315" spans="1:15">
      <c r="A315" t="s">
        <v>459</v>
      </c>
      <c r="H315" t="s">
        <v>1028</v>
      </c>
      <c r="O315" t="s">
        <v>1593</v>
      </c>
    </row>
    <row r="316" spans="1:15">
      <c r="A316" t="s">
        <v>460</v>
      </c>
      <c r="H316" t="s">
        <v>1029</v>
      </c>
      <c r="O316" t="s">
        <v>1594</v>
      </c>
    </row>
    <row r="317" spans="1:15">
      <c r="A317" t="s">
        <v>461</v>
      </c>
      <c r="H317" t="s">
        <v>1030</v>
      </c>
      <c r="O317" t="s">
        <v>1595</v>
      </c>
    </row>
    <row r="318" spans="1:15">
      <c r="A318" t="s">
        <v>462</v>
      </c>
      <c r="H318" t="s">
        <v>1031</v>
      </c>
      <c r="O318" t="s">
        <v>1596</v>
      </c>
    </row>
    <row r="319" spans="1:15">
      <c r="A319" t="s">
        <v>463</v>
      </c>
      <c r="H319" t="s">
        <v>1032</v>
      </c>
      <c r="O319" t="s">
        <v>1597</v>
      </c>
    </row>
    <row r="320" spans="1:15">
      <c r="A320" t="s">
        <v>464</v>
      </c>
      <c r="H320" t="s">
        <v>1033</v>
      </c>
      <c r="O320" t="s">
        <v>1598</v>
      </c>
    </row>
    <row r="321" spans="1:15">
      <c r="A321" t="s">
        <v>465</v>
      </c>
      <c r="H321" t="s">
        <v>1034</v>
      </c>
      <c r="O321" t="s">
        <v>1599</v>
      </c>
    </row>
    <row r="322" spans="1:15">
      <c r="A322" t="s">
        <v>466</v>
      </c>
      <c r="H322" t="s">
        <v>1035</v>
      </c>
      <c r="O322" t="s">
        <v>1600</v>
      </c>
    </row>
    <row r="323" spans="1:15">
      <c r="A323" t="s">
        <v>467</v>
      </c>
      <c r="H323" t="s">
        <v>1036</v>
      </c>
      <c r="O323" t="s">
        <v>1601</v>
      </c>
    </row>
    <row r="324" spans="1:15">
      <c r="A324" t="s">
        <v>468</v>
      </c>
      <c r="H324" t="s">
        <v>1037</v>
      </c>
      <c r="O324" t="s">
        <v>1602</v>
      </c>
    </row>
    <row r="325" spans="1:15">
      <c r="A325" t="s">
        <v>469</v>
      </c>
      <c r="H325" t="s">
        <v>1038</v>
      </c>
      <c r="O325" t="s">
        <v>1603</v>
      </c>
    </row>
    <row r="326" spans="1:15">
      <c r="A326" t="s">
        <v>470</v>
      </c>
      <c r="H326" t="s">
        <v>1039</v>
      </c>
      <c r="O326" t="s">
        <v>1604</v>
      </c>
    </row>
    <row r="327" spans="1:15">
      <c r="A327" t="s">
        <v>471</v>
      </c>
      <c r="H327" t="s">
        <v>1040</v>
      </c>
      <c r="O327" t="s">
        <v>1605</v>
      </c>
    </row>
    <row r="328" spans="1:15">
      <c r="A328" t="s">
        <v>472</v>
      </c>
      <c r="H328" t="s">
        <v>1041</v>
      </c>
      <c r="O328" t="s">
        <v>1606</v>
      </c>
    </row>
    <row r="329" spans="1:15">
      <c r="A329" t="s">
        <v>473</v>
      </c>
      <c r="H329" t="s">
        <v>1042</v>
      </c>
      <c r="O329" t="s">
        <v>1607</v>
      </c>
    </row>
    <row r="330" spans="1:15">
      <c r="A330" t="s">
        <v>474</v>
      </c>
      <c r="H330" t="s">
        <v>1043</v>
      </c>
      <c r="O330" t="s">
        <v>1608</v>
      </c>
    </row>
    <row r="331" spans="1:15">
      <c r="A331" t="s">
        <v>475</v>
      </c>
      <c r="H331" t="s">
        <v>1044</v>
      </c>
      <c r="O331" t="s">
        <v>1609</v>
      </c>
    </row>
    <row r="332" spans="1:15">
      <c r="A332" t="s">
        <v>476</v>
      </c>
      <c r="H332" t="s">
        <v>1045</v>
      </c>
      <c r="O332" t="s">
        <v>1610</v>
      </c>
    </row>
    <row r="333" spans="1:15">
      <c r="A333" t="s">
        <v>477</v>
      </c>
      <c r="H333" t="s">
        <v>1046</v>
      </c>
      <c r="O333" t="s">
        <v>1611</v>
      </c>
    </row>
    <row r="334" spans="1:15">
      <c r="A334" t="s">
        <v>478</v>
      </c>
      <c r="H334" t="s">
        <v>1047</v>
      </c>
      <c r="O334" t="s">
        <v>1612</v>
      </c>
    </row>
    <row r="335" spans="1:15">
      <c r="A335" t="s">
        <v>479</v>
      </c>
      <c r="H335" t="s">
        <v>1048</v>
      </c>
      <c r="O335" t="s">
        <v>1613</v>
      </c>
    </row>
    <row r="336" spans="1:15">
      <c r="A336" t="s">
        <v>480</v>
      </c>
      <c r="H336" t="s">
        <v>1049</v>
      </c>
      <c r="O336" t="s">
        <v>1614</v>
      </c>
    </row>
    <row r="337" spans="1:15">
      <c r="A337" t="s">
        <v>481</v>
      </c>
      <c r="H337" t="s">
        <v>1050</v>
      </c>
      <c r="O337" t="s">
        <v>1615</v>
      </c>
    </row>
    <row r="338" spans="1:15">
      <c r="A338" t="s">
        <v>482</v>
      </c>
      <c r="H338" t="s">
        <v>1051</v>
      </c>
      <c r="O338" t="s">
        <v>1616</v>
      </c>
    </row>
    <row r="339" spans="1:15">
      <c r="A339" t="s">
        <v>483</v>
      </c>
      <c r="H339" t="s">
        <v>1052</v>
      </c>
      <c r="O339" t="s">
        <v>1617</v>
      </c>
    </row>
    <row r="340" spans="1:15">
      <c r="A340" t="s">
        <v>484</v>
      </c>
      <c r="H340" t="s">
        <v>1053</v>
      </c>
      <c r="O340" t="s">
        <v>1618</v>
      </c>
    </row>
    <row r="341" spans="1:15">
      <c r="A341" t="s">
        <v>485</v>
      </c>
      <c r="H341" t="s">
        <v>1054</v>
      </c>
      <c r="O341" t="s">
        <v>1619</v>
      </c>
    </row>
    <row r="342" spans="1:15">
      <c r="A342" t="s">
        <v>486</v>
      </c>
      <c r="H342" t="s">
        <v>1055</v>
      </c>
      <c r="O342" t="s">
        <v>1620</v>
      </c>
    </row>
    <row r="343" spans="1:15">
      <c r="A343" t="s">
        <v>487</v>
      </c>
      <c r="H343" t="s">
        <v>1056</v>
      </c>
      <c r="O343" t="s">
        <v>1621</v>
      </c>
    </row>
    <row r="344" spans="1:15">
      <c r="A344" t="s">
        <v>488</v>
      </c>
      <c r="H344" t="s">
        <v>1057</v>
      </c>
      <c r="O344" t="s">
        <v>1622</v>
      </c>
    </row>
    <row r="345" spans="1:15">
      <c r="A345" t="s">
        <v>489</v>
      </c>
      <c r="H345" t="s">
        <v>1058</v>
      </c>
      <c r="O345" t="s">
        <v>1623</v>
      </c>
    </row>
    <row r="346" spans="1:15">
      <c r="A346" t="s">
        <v>490</v>
      </c>
      <c r="H346" t="s">
        <v>1059</v>
      </c>
      <c r="O346" t="s">
        <v>1624</v>
      </c>
    </row>
    <row r="347" spans="1:15">
      <c r="A347" t="s">
        <v>491</v>
      </c>
      <c r="H347" t="s">
        <v>1060</v>
      </c>
      <c r="O347" t="s">
        <v>1625</v>
      </c>
    </row>
    <row r="348" spans="1:15">
      <c r="A348" t="s">
        <v>492</v>
      </c>
      <c r="H348" t="s">
        <v>1061</v>
      </c>
      <c r="O348" t="s">
        <v>1626</v>
      </c>
    </row>
    <row r="349" spans="1:15">
      <c r="A349" t="s">
        <v>493</v>
      </c>
      <c r="H349" t="s">
        <v>1062</v>
      </c>
      <c r="O349" t="s">
        <v>1627</v>
      </c>
    </row>
    <row r="350" spans="1:15">
      <c r="A350" t="s">
        <v>494</v>
      </c>
      <c r="H350" t="s">
        <v>1063</v>
      </c>
      <c r="O350" t="s">
        <v>1628</v>
      </c>
    </row>
    <row r="351" spans="1:15">
      <c r="A351" t="s">
        <v>495</v>
      </c>
      <c r="H351" t="s">
        <v>1064</v>
      </c>
      <c r="O351" t="s">
        <v>1629</v>
      </c>
    </row>
    <row r="352" spans="1:15">
      <c r="A352" t="s">
        <v>496</v>
      </c>
      <c r="H352" t="s">
        <v>1065</v>
      </c>
      <c r="O352" t="s">
        <v>1630</v>
      </c>
    </row>
    <row r="353" spans="1:15">
      <c r="A353" t="s">
        <v>497</v>
      </c>
      <c r="H353" t="s">
        <v>1066</v>
      </c>
      <c r="O353" t="s">
        <v>1631</v>
      </c>
    </row>
    <row r="354" spans="1:15">
      <c r="A354" t="s">
        <v>498</v>
      </c>
      <c r="H354" t="s">
        <v>1067</v>
      </c>
      <c r="O354" t="s">
        <v>1632</v>
      </c>
    </row>
    <row r="355" spans="1:15">
      <c r="A355" t="s">
        <v>499</v>
      </c>
      <c r="H355" t="s">
        <v>1068</v>
      </c>
      <c r="O355" t="s">
        <v>1633</v>
      </c>
    </row>
    <row r="356" spans="1:15">
      <c r="A356" t="s">
        <v>500</v>
      </c>
      <c r="H356" t="s">
        <v>1069</v>
      </c>
      <c r="O356" t="s">
        <v>1634</v>
      </c>
    </row>
    <row r="357" spans="1:15">
      <c r="A357" t="s">
        <v>501</v>
      </c>
      <c r="H357" t="s">
        <v>1070</v>
      </c>
      <c r="O357" t="s">
        <v>1635</v>
      </c>
    </row>
    <row r="358" spans="1:15">
      <c r="A358" t="s">
        <v>502</v>
      </c>
      <c r="H358" t="s">
        <v>1071</v>
      </c>
      <c r="O358" t="s">
        <v>1636</v>
      </c>
    </row>
    <row r="359" spans="1:15">
      <c r="A359" t="s">
        <v>503</v>
      </c>
      <c r="H359" t="s">
        <v>1072</v>
      </c>
      <c r="O359" t="s">
        <v>1635</v>
      </c>
    </row>
    <row r="360" spans="1:15">
      <c r="A360" t="s">
        <v>504</v>
      </c>
      <c r="H360" t="s">
        <v>1073</v>
      </c>
      <c r="O360" t="s">
        <v>1637</v>
      </c>
    </row>
    <row r="361" spans="1:15">
      <c r="A361" t="s">
        <v>505</v>
      </c>
      <c r="H361" t="s">
        <v>1074</v>
      </c>
      <c r="O361" t="s">
        <v>1638</v>
      </c>
    </row>
    <row r="362" spans="1:15">
      <c r="A362" t="s">
        <v>506</v>
      </c>
      <c r="H362" t="s">
        <v>1075</v>
      </c>
      <c r="O362" t="s">
        <v>1639</v>
      </c>
    </row>
    <row r="363" spans="1:15">
      <c r="A363" t="s">
        <v>507</v>
      </c>
      <c r="H363" t="s">
        <v>1076</v>
      </c>
      <c r="O363" t="s">
        <v>1640</v>
      </c>
    </row>
    <row r="364" spans="1:15">
      <c r="A364" t="s">
        <v>508</v>
      </c>
      <c r="H364" t="s">
        <v>1077</v>
      </c>
      <c r="O364" t="s">
        <v>1641</v>
      </c>
    </row>
    <row r="365" spans="1:15">
      <c r="A365" t="s">
        <v>509</v>
      </c>
      <c r="H365" t="s">
        <v>1078</v>
      </c>
      <c r="O365" t="s">
        <v>1642</v>
      </c>
    </row>
    <row r="366" spans="1:15">
      <c r="A366" t="s">
        <v>510</v>
      </c>
      <c r="H366" t="s">
        <v>1079</v>
      </c>
      <c r="O366" t="s">
        <v>1643</v>
      </c>
    </row>
    <row r="367" spans="1:15">
      <c r="A367" t="s">
        <v>511</v>
      </c>
      <c r="H367" t="s">
        <v>1080</v>
      </c>
      <c r="O367" t="s">
        <v>1644</v>
      </c>
    </row>
    <row r="368" spans="1:15">
      <c r="A368" t="s">
        <v>512</v>
      </c>
      <c r="H368" t="s">
        <v>1081</v>
      </c>
      <c r="O368" t="s">
        <v>1645</v>
      </c>
    </row>
    <row r="369" spans="1:15">
      <c r="A369" t="s">
        <v>513</v>
      </c>
      <c r="H369" t="s">
        <v>1082</v>
      </c>
      <c r="O369" t="s">
        <v>1646</v>
      </c>
    </row>
    <row r="370" spans="1:15">
      <c r="A370" t="s">
        <v>514</v>
      </c>
      <c r="H370" t="s">
        <v>1083</v>
      </c>
      <c r="O370" t="s">
        <v>1647</v>
      </c>
    </row>
    <row r="371" spans="1:15">
      <c r="A371" t="s">
        <v>515</v>
      </c>
      <c r="H371" t="s">
        <v>1084</v>
      </c>
      <c r="O371" t="s">
        <v>1648</v>
      </c>
    </row>
    <row r="372" spans="1:15">
      <c r="A372" t="s">
        <v>516</v>
      </c>
      <c r="H372" t="s">
        <v>1085</v>
      </c>
      <c r="O372" t="s">
        <v>1649</v>
      </c>
    </row>
    <row r="373" spans="1:15">
      <c r="A373" t="s">
        <v>517</v>
      </c>
      <c r="H373" t="s">
        <v>1086</v>
      </c>
      <c r="O373" t="s">
        <v>1650</v>
      </c>
    </row>
    <row r="374" spans="1:15">
      <c r="A374" t="s">
        <v>518</v>
      </c>
      <c r="H374" t="s">
        <v>1087</v>
      </c>
      <c r="O374" t="s">
        <v>1651</v>
      </c>
    </row>
    <row r="375" spans="1:15">
      <c r="A375" t="s">
        <v>519</v>
      </c>
      <c r="H375" t="s">
        <v>1088</v>
      </c>
      <c r="O375" t="s">
        <v>1652</v>
      </c>
    </row>
    <row r="376" spans="1:15">
      <c r="A376" t="s">
        <v>520</v>
      </c>
      <c r="H376" t="s">
        <v>1089</v>
      </c>
      <c r="O376" t="s">
        <v>1653</v>
      </c>
    </row>
    <row r="377" spans="1:15">
      <c r="A377" t="s">
        <v>521</v>
      </c>
      <c r="H377" t="s">
        <v>1090</v>
      </c>
      <c r="O377" t="s">
        <v>1654</v>
      </c>
    </row>
    <row r="378" spans="1:15">
      <c r="A378" t="s">
        <v>522</v>
      </c>
      <c r="H378" t="s">
        <v>1091</v>
      </c>
      <c r="O378" t="s">
        <v>1655</v>
      </c>
    </row>
    <row r="379" spans="1:15">
      <c r="A379" t="s">
        <v>523</v>
      </c>
      <c r="H379" t="s">
        <v>1092</v>
      </c>
      <c r="O379" t="s">
        <v>1656</v>
      </c>
    </row>
    <row r="380" spans="1:15">
      <c r="A380" t="s">
        <v>524</v>
      </c>
      <c r="H380" t="s">
        <v>1093</v>
      </c>
      <c r="O380" t="s">
        <v>1657</v>
      </c>
    </row>
    <row r="381" spans="1:15">
      <c r="A381" t="s">
        <v>525</v>
      </c>
      <c r="H381" t="s">
        <v>1094</v>
      </c>
      <c r="O381" t="s">
        <v>1658</v>
      </c>
    </row>
    <row r="382" spans="1:15">
      <c r="A382" t="s">
        <v>526</v>
      </c>
      <c r="H382" t="s">
        <v>1095</v>
      </c>
      <c r="O382" t="s">
        <v>1659</v>
      </c>
    </row>
    <row r="383" spans="1:15">
      <c r="A383" t="s">
        <v>527</v>
      </c>
      <c r="H383" t="s">
        <v>1096</v>
      </c>
      <c r="O383" t="s">
        <v>1660</v>
      </c>
    </row>
    <row r="384" spans="1:15">
      <c r="A384" t="s">
        <v>528</v>
      </c>
      <c r="H384" t="s">
        <v>1097</v>
      </c>
      <c r="O384" t="s">
        <v>1661</v>
      </c>
    </row>
    <row r="385" spans="1:15">
      <c r="A385" t="s">
        <v>529</v>
      </c>
      <c r="H385" t="s">
        <v>1098</v>
      </c>
      <c r="O385" t="s">
        <v>1662</v>
      </c>
    </row>
    <row r="386" spans="1:15">
      <c r="A386" t="s">
        <v>530</v>
      </c>
      <c r="H386" t="s">
        <v>1099</v>
      </c>
      <c r="O386" t="s">
        <v>1663</v>
      </c>
    </row>
    <row r="387" spans="1:15">
      <c r="A387" t="s">
        <v>531</v>
      </c>
      <c r="H387" t="s">
        <v>1100</v>
      </c>
      <c r="O387" t="s">
        <v>1664</v>
      </c>
    </row>
    <row r="388" spans="1:15">
      <c r="A388" t="s">
        <v>532</v>
      </c>
      <c r="H388" t="s">
        <v>1101</v>
      </c>
      <c r="O388" t="s">
        <v>1665</v>
      </c>
    </row>
    <row r="389" spans="1:15">
      <c r="A389" t="s">
        <v>533</v>
      </c>
      <c r="H389" t="s">
        <v>1102</v>
      </c>
      <c r="O389" t="s">
        <v>1666</v>
      </c>
    </row>
    <row r="390" spans="1:15">
      <c r="A390" t="s">
        <v>534</v>
      </c>
      <c r="H390" t="s">
        <v>1103</v>
      </c>
      <c r="O390" t="s">
        <v>1667</v>
      </c>
    </row>
    <row r="391" spans="1:15">
      <c r="A391" t="s">
        <v>535</v>
      </c>
      <c r="H391" t="s">
        <v>1104</v>
      </c>
      <c r="O391" t="s">
        <v>1668</v>
      </c>
    </row>
    <row r="392" spans="1:15">
      <c r="A392" t="s">
        <v>536</v>
      </c>
      <c r="H392" t="s">
        <v>1105</v>
      </c>
      <c r="O392" t="s">
        <v>1669</v>
      </c>
    </row>
    <row r="393" spans="1:15">
      <c r="A393" t="s">
        <v>537</v>
      </c>
      <c r="H393" t="s">
        <v>1106</v>
      </c>
      <c r="O393" t="s">
        <v>1670</v>
      </c>
    </row>
    <row r="394" spans="1:15">
      <c r="A394" t="s">
        <v>538</v>
      </c>
      <c r="H394" t="s">
        <v>1107</v>
      </c>
      <c r="O394" t="s">
        <v>1671</v>
      </c>
    </row>
    <row r="395" spans="1:15">
      <c r="A395" t="s">
        <v>539</v>
      </c>
      <c r="H395" t="s">
        <v>1108</v>
      </c>
      <c r="O395" t="s">
        <v>1672</v>
      </c>
    </row>
    <row r="396" spans="1:15">
      <c r="A396" t="s">
        <v>540</v>
      </c>
      <c r="H396" t="s">
        <v>1109</v>
      </c>
      <c r="O396" t="s">
        <v>1673</v>
      </c>
    </row>
    <row r="397" spans="1:15">
      <c r="A397" t="s">
        <v>541</v>
      </c>
      <c r="H397" t="s">
        <v>1110</v>
      </c>
      <c r="O397" t="s">
        <v>1674</v>
      </c>
    </row>
    <row r="398" spans="1:15">
      <c r="A398" t="s">
        <v>542</v>
      </c>
      <c r="H398" t="s">
        <v>1111</v>
      </c>
      <c r="O398" t="s">
        <v>1675</v>
      </c>
    </row>
    <row r="399" spans="1:15">
      <c r="A399" t="s">
        <v>543</v>
      </c>
      <c r="H399" t="s">
        <v>1112</v>
      </c>
      <c r="O399" t="s">
        <v>1676</v>
      </c>
    </row>
    <row r="400" spans="1:15">
      <c r="A400" t="s">
        <v>544</v>
      </c>
      <c r="H400" t="s">
        <v>1113</v>
      </c>
      <c r="O400" t="s">
        <v>1677</v>
      </c>
    </row>
    <row r="401" spans="1:15">
      <c r="A401" t="s">
        <v>545</v>
      </c>
      <c r="H401" t="s">
        <v>1114</v>
      </c>
      <c r="O401" t="s">
        <v>1678</v>
      </c>
    </row>
    <row r="402" spans="1:15">
      <c r="A402" t="s">
        <v>546</v>
      </c>
      <c r="H402" t="s">
        <v>1115</v>
      </c>
      <c r="O402" t="s">
        <v>1679</v>
      </c>
    </row>
    <row r="403" spans="1:15">
      <c r="A403" t="s">
        <v>547</v>
      </c>
      <c r="H403" t="s">
        <v>1116</v>
      </c>
      <c r="O403" t="s">
        <v>1680</v>
      </c>
    </row>
    <row r="404" spans="1:15">
      <c r="A404" t="s">
        <v>548</v>
      </c>
      <c r="H404" t="s">
        <v>1117</v>
      </c>
      <c r="O404" t="s">
        <v>1681</v>
      </c>
    </row>
    <row r="405" spans="1:15">
      <c r="A405" t="s">
        <v>549</v>
      </c>
      <c r="H405" t="s">
        <v>1118</v>
      </c>
      <c r="O405" t="s">
        <v>1682</v>
      </c>
    </row>
    <row r="406" spans="1:15">
      <c r="A406" t="s">
        <v>550</v>
      </c>
      <c r="H406" t="s">
        <v>1119</v>
      </c>
      <c r="O406" t="s">
        <v>1683</v>
      </c>
    </row>
    <row r="407" spans="1:15">
      <c r="A407" t="s">
        <v>551</v>
      </c>
      <c r="H407" t="s">
        <v>1120</v>
      </c>
      <c r="O407" t="s">
        <v>1684</v>
      </c>
    </row>
    <row r="408" spans="1:15">
      <c r="A408" t="s">
        <v>552</v>
      </c>
      <c r="H408" t="s">
        <v>1121</v>
      </c>
      <c r="O408" t="s">
        <v>1685</v>
      </c>
    </row>
    <row r="409" spans="1:15">
      <c r="A409" t="s">
        <v>553</v>
      </c>
      <c r="H409" t="s">
        <v>1122</v>
      </c>
      <c r="O409" t="s">
        <v>1686</v>
      </c>
    </row>
    <row r="410" spans="1:15">
      <c r="A410" t="s">
        <v>554</v>
      </c>
      <c r="H410" t="s">
        <v>1123</v>
      </c>
      <c r="O410" t="s">
        <v>1687</v>
      </c>
    </row>
    <row r="411" spans="1:15">
      <c r="A411" t="s">
        <v>555</v>
      </c>
      <c r="H411" t="s">
        <v>1124</v>
      </c>
      <c r="O411" t="s">
        <v>1688</v>
      </c>
    </row>
    <row r="412" spans="1:15">
      <c r="A412" t="s">
        <v>556</v>
      </c>
      <c r="H412" t="s">
        <v>1125</v>
      </c>
      <c r="O412" t="s">
        <v>1689</v>
      </c>
    </row>
    <row r="413" spans="1:15">
      <c r="A413" t="s">
        <v>557</v>
      </c>
      <c r="H413" t="s">
        <v>1126</v>
      </c>
      <c r="O413" t="s">
        <v>1690</v>
      </c>
    </row>
    <row r="414" spans="1:15">
      <c r="A414" t="s">
        <v>558</v>
      </c>
      <c r="H414" t="s">
        <v>1127</v>
      </c>
      <c r="O414" t="s">
        <v>1691</v>
      </c>
    </row>
    <row r="415" spans="1:15">
      <c r="A415" t="s">
        <v>559</v>
      </c>
      <c r="H415" t="s">
        <v>1128</v>
      </c>
      <c r="O415" t="s">
        <v>1692</v>
      </c>
    </row>
    <row r="416" spans="1:15">
      <c r="A416" t="s">
        <v>560</v>
      </c>
      <c r="H416" t="s">
        <v>1129</v>
      </c>
      <c r="O416" t="s">
        <v>1693</v>
      </c>
    </row>
    <row r="417" spans="1:15">
      <c r="A417" t="s">
        <v>561</v>
      </c>
      <c r="H417" t="s">
        <v>1130</v>
      </c>
      <c r="O417" t="s">
        <v>1694</v>
      </c>
    </row>
    <row r="418" spans="1:15">
      <c r="A418" t="s">
        <v>562</v>
      </c>
      <c r="H418" t="s">
        <v>1131</v>
      </c>
      <c r="O418" t="s">
        <v>1695</v>
      </c>
    </row>
    <row r="419" spans="1:15">
      <c r="A419" t="s">
        <v>563</v>
      </c>
      <c r="H419" t="s">
        <v>1132</v>
      </c>
      <c r="O419" t="s">
        <v>1696</v>
      </c>
    </row>
    <row r="420" spans="1:15">
      <c r="A420" t="s">
        <v>564</v>
      </c>
      <c r="H420" t="s">
        <v>1133</v>
      </c>
      <c r="O420" t="s">
        <v>1697</v>
      </c>
    </row>
    <row r="421" spans="1:15">
      <c r="A421" t="s">
        <v>565</v>
      </c>
      <c r="H421" t="s">
        <v>1134</v>
      </c>
      <c r="O421" t="s">
        <v>1698</v>
      </c>
    </row>
    <row r="422" spans="1:15">
      <c r="A422" t="s">
        <v>566</v>
      </c>
      <c r="H422" t="s">
        <v>1135</v>
      </c>
      <c r="O422" t="s">
        <v>1699</v>
      </c>
    </row>
    <row r="423" spans="1:15">
      <c r="A423" t="s">
        <v>567</v>
      </c>
      <c r="H423" t="s">
        <v>1136</v>
      </c>
      <c r="O423" t="s">
        <v>1700</v>
      </c>
    </row>
    <row r="424" spans="1:15">
      <c r="A424" t="s">
        <v>568</v>
      </c>
      <c r="H424" t="s">
        <v>1137</v>
      </c>
      <c r="O424" t="s">
        <v>1701</v>
      </c>
    </row>
    <row r="425" spans="1:15">
      <c r="A425" t="s">
        <v>569</v>
      </c>
      <c r="H425" t="s">
        <v>1138</v>
      </c>
      <c r="O425" t="s">
        <v>1702</v>
      </c>
    </row>
    <row r="426" spans="1:15">
      <c r="A426" t="s">
        <v>570</v>
      </c>
      <c r="H426" t="s">
        <v>1139</v>
      </c>
      <c r="O426" t="s">
        <v>1703</v>
      </c>
    </row>
    <row r="427" spans="1:15">
      <c r="A427" t="s">
        <v>571</v>
      </c>
      <c r="H427" t="s">
        <v>1140</v>
      </c>
      <c r="O427" t="s">
        <v>1704</v>
      </c>
    </row>
    <row r="428" spans="1:15">
      <c r="A428" t="s">
        <v>572</v>
      </c>
      <c r="H428" t="s">
        <v>1141</v>
      </c>
      <c r="O428" t="s">
        <v>1705</v>
      </c>
    </row>
    <row r="429" spans="1:15">
      <c r="A429" t="s">
        <v>573</v>
      </c>
      <c r="H429" t="s">
        <v>1142</v>
      </c>
      <c r="O429" t="s">
        <v>1706</v>
      </c>
    </row>
    <row r="430" spans="1:15">
      <c r="A430" t="s">
        <v>574</v>
      </c>
      <c r="H430" t="s">
        <v>1143</v>
      </c>
      <c r="O430" t="s">
        <v>1707</v>
      </c>
    </row>
    <row r="431" spans="1:15">
      <c r="A431" t="s">
        <v>575</v>
      </c>
      <c r="H431" t="s">
        <v>1144</v>
      </c>
      <c r="O431" t="s">
        <v>1708</v>
      </c>
    </row>
    <row r="432" spans="1:15">
      <c r="A432" t="s">
        <v>576</v>
      </c>
      <c r="H432" t="s">
        <v>1145</v>
      </c>
      <c r="O432" t="s">
        <v>1709</v>
      </c>
    </row>
    <row r="433" spans="1:15">
      <c r="A433" t="s">
        <v>577</v>
      </c>
      <c r="H433" t="s">
        <v>1146</v>
      </c>
      <c r="O433" t="s">
        <v>1710</v>
      </c>
    </row>
    <row r="434" spans="1:15">
      <c r="A434" t="s">
        <v>578</v>
      </c>
      <c r="H434" t="s">
        <v>1147</v>
      </c>
      <c r="O434" t="s">
        <v>1711</v>
      </c>
    </row>
    <row r="435" spans="1:15">
      <c r="A435" t="s">
        <v>579</v>
      </c>
      <c r="H435" t="s">
        <v>1148</v>
      </c>
      <c r="O435" t="s">
        <v>1712</v>
      </c>
    </row>
    <row r="436" spans="1:15">
      <c r="A436" t="s">
        <v>580</v>
      </c>
      <c r="H436" t="s">
        <v>1149</v>
      </c>
      <c r="O436" t="s">
        <v>1713</v>
      </c>
    </row>
    <row r="437" spans="1:15">
      <c r="A437" t="s">
        <v>581</v>
      </c>
      <c r="H437" t="s">
        <v>1150</v>
      </c>
    </row>
    <row r="438" spans="1:15">
      <c r="A438" t="s">
        <v>582</v>
      </c>
      <c r="H438" t="s">
        <v>1151</v>
      </c>
    </row>
    <row r="439" spans="1:15">
      <c r="A439" t="s">
        <v>583</v>
      </c>
      <c r="H439" t="s">
        <v>1152</v>
      </c>
    </row>
    <row r="440" spans="1:15">
      <c r="A440" t="s">
        <v>584</v>
      </c>
      <c r="H440" t="s">
        <v>1153</v>
      </c>
    </row>
    <row r="441" spans="1:15">
      <c r="A441" t="s">
        <v>585</v>
      </c>
      <c r="H441" t="s">
        <v>1154</v>
      </c>
    </row>
    <row r="442" spans="1:15">
      <c r="A442" t="s">
        <v>586</v>
      </c>
      <c r="H442" t="s">
        <v>1155</v>
      </c>
    </row>
    <row r="443" spans="1:15">
      <c r="A443" t="s">
        <v>587</v>
      </c>
      <c r="H443" t="s">
        <v>1156</v>
      </c>
    </row>
    <row r="444" spans="1:15">
      <c r="A444" t="s">
        <v>588</v>
      </c>
      <c r="H444" t="s">
        <v>1157</v>
      </c>
    </row>
    <row r="445" spans="1:15">
      <c r="A445" t="s">
        <v>589</v>
      </c>
      <c r="H445" t="s">
        <v>1158</v>
      </c>
    </row>
    <row r="446" spans="1:15">
      <c r="A446" t="s">
        <v>590</v>
      </c>
      <c r="H446" t="s">
        <v>1159</v>
      </c>
    </row>
    <row r="447" spans="1:15">
      <c r="A447" t="s">
        <v>591</v>
      </c>
      <c r="H447" t="s">
        <v>1160</v>
      </c>
    </row>
    <row r="448" spans="1:15">
      <c r="A448" t="s">
        <v>592</v>
      </c>
      <c r="H448" t="s">
        <v>1161</v>
      </c>
    </row>
    <row r="449" spans="1:8">
      <c r="A449" t="s">
        <v>593</v>
      </c>
      <c r="H449" t="s">
        <v>1162</v>
      </c>
    </row>
    <row r="450" spans="1:8">
      <c r="A450" t="s">
        <v>594</v>
      </c>
      <c r="H450" t="s">
        <v>1163</v>
      </c>
    </row>
    <row r="451" spans="1:8">
      <c r="A451" t="s">
        <v>595</v>
      </c>
      <c r="H451" t="s">
        <v>1164</v>
      </c>
    </row>
    <row r="452" spans="1:8">
      <c r="A452" t="s">
        <v>596</v>
      </c>
      <c r="H452" t="s">
        <v>1165</v>
      </c>
    </row>
    <row r="453" spans="1:8">
      <c r="A453" t="s">
        <v>597</v>
      </c>
      <c r="H453" t="s">
        <v>1166</v>
      </c>
    </row>
    <row r="454" spans="1:8">
      <c r="A454" t="s">
        <v>598</v>
      </c>
      <c r="H454" t="s">
        <v>1167</v>
      </c>
    </row>
    <row r="455" spans="1:8">
      <c r="A455" t="s">
        <v>599</v>
      </c>
      <c r="H455" t="s">
        <v>1168</v>
      </c>
    </row>
    <row r="456" spans="1:8">
      <c r="A456" t="s">
        <v>600</v>
      </c>
      <c r="H456" t="s">
        <v>1169</v>
      </c>
    </row>
    <row r="457" spans="1:8">
      <c r="A457" t="s">
        <v>601</v>
      </c>
      <c r="H457" t="s">
        <v>1170</v>
      </c>
    </row>
    <row r="458" spans="1:8">
      <c r="A458" t="s">
        <v>602</v>
      </c>
      <c r="H458" t="s">
        <v>1171</v>
      </c>
    </row>
    <row r="459" spans="1:8">
      <c r="A459" t="s">
        <v>603</v>
      </c>
      <c r="H459" t="s">
        <v>1172</v>
      </c>
    </row>
    <row r="460" spans="1:8">
      <c r="A460" t="s">
        <v>604</v>
      </c>
      <c r="H460" t="s">
        <v>1173</v>
      </c>
    </row>
    <row r="461" spans="1:8">
      <c r="A461" t="s">
        <v>605</v>
      </c>
      <c r="H461" t="s">
        <v>1174</v>
      </c>
    </row>
    <row r="462" spans="1:8">
      <c r="A462" t="s">
        <v>606</v>
      </c>
      <c r="H462" t="s">
        <v>1175</v>
      </c>
    </row>
    <row r="463" spans="1:8">
      <c r="A463" t="s">
        <v>607</v>
      </c>
      <c r="H463" t="s">
        <v>1176</v>
      </c>
    </row>
    <row r="464" spans="1:8">
      <c r="A464" t="s">
        <v>608</v>
      </c>
      <c r="H464" t="s">
        <v>1177</v>
      </c>
    </row>
    <row r="465" spans="1:8">
      <c r="A465" t="s">
        <v>609</v>
      </c>
      <c r="H465" t="s">
        <v>1178</v>
      </c>
    </row>
    <row r="466" spans="1:8">
      <c r="A466" t="s">
        <v>610</v>
      </c>
      <c r="H466" t="s">
        <v>1179</v>
      </c>
    </row>
    <row r="467" spans="1:8">
      <c r="A467" t="s">
        <v>611</v>
      </c>
      <c r="H467" t="s">
        <v>1180</v>
      </c>
    </row>
    <row r="468" spans="1:8">
      <c r="A468" t="s">
        <v>612</v>
      </c>
      <c r="H468" t="s">
        <v>1181</v>
      </c>
    </row>
    <row r="469" spans="1:8">
      <c r="A469" t="s">
        <v>613</v>
      </c>
      <c r="H469" t="s">
        <v>1182</v>
      </c>
    </row>
    <row r="470" spans="1:8">
      <c r="A470" t="s">
        <v>614</v>
      </c>
      <c r="H470" t="s">
        <v>1183</v>
      </c>
    </row>
    <row r="471" spans="1:8">
      <c r="A471" t="s">
        <v>615</v>
      </c>
      <c r="H471" t="s">
        <v>1184</v>
      </c>
    </row>
    <row r="472" spans="1:8">
      <c r="A472" t="s">
        <v>616</v>
      </c>
      <c r="H472" t="s">
        <v>1185</v>
      </c>
    </row>
    <row r="473" spans="1:8">
      <c r="A473" t="s">
        <v>617</v>
      </c>
      <c r="H473" t="s">
        <v>1186</v>
      </c>
    </row>
    <row r="474" spans="1:8">
      <c r="A474" t="s">
        <v>618</v>
      </c>
      <c r="H474" t="s">
        <v>1187</v>
      </c>
    </row>
    <row r="475" spans="1:8">
      <c r="A475" t="s">
        <v>619</v>
      </c>
      <c r="H475" t="s">
        <v>1188</v>
      </c>
    </row>
    <row r="476" spans="1:8">
      <c r="A476" t="s">
        <v>620</v>
      </c>
      <c r="H476" t="s">
        <v>1189</v>
      </c>
    </row>
    <row r="477" spans="1:8">
      <c r="A477" t="s">
        <v>621</v>
      </c>
      <c r="H477" t="s">
        <v>1190</v>
      </c>
    </row>
    <row r="478" spans="1:8">
      <c r="A478" t="s">
        <v>622</v>
      </c>
      <c r="H478" t="s">
        <v>1191</v>
      </c>
    </row>
    <row r="479" spans="1:8">
      <c r="A479" t="s">
        <v>623</v>
      </c>
      <c r="H479" t="s">
        <v>1192</v>
      </c>
    </row>
    <row r="480" spans="1:8">
      <c r="A480" t="s">
        <v>624</v>
      </c>
      <c r="H480" t="s">
        <v>1193</v>
      </c>
    </row>
    <row r="481" spans="1:8">
      <c r="A481" t="s">
        <v>625</v>
      </c>
      <c r="H481" t="s">
        <v>1194</v>
      </c>
    </row>
    <row r="482" spans="1:8">
      <c r="A482" t="s">
        <v>626</v>
      </c>
      <c r="H482" t="s">
        <v>1195</v>
      </c>
    </row>
    <row r="483" spans="1:8">
      <c r="A483" t="s">
        <v>627</v>
      </c>
      <c r="H483" t="s">
        <v>1196</v>
      </c>
    </row>
    <row r="484" spans="1:8">
      <c r="A484" t="s">
        <v>628</v>
      </c>
      <c r="H484" t="s">
        <v>1197</v>
      </c>
    </row>
    <row r="485" spans="1:8">
      <c r="A485" t="s">
        <v>629</v>
      </c>
      <c r="H485" t="s">
        <v>1198</v>
      </c>
    </row>
    <row r="486" spans="1:8">
      <c r="A486" t="s">
        <v>630</v>
      </c>
      <c r="H486" t="s">
        <v>1199</v>
      </c>
    </row>
    <row r="487" spans="1:8">
      <c r="A487" t="s">
        <v>631</v>
      </c>
      <c r="H487" t="s">
        <v>1200</v>
      </c>
    </row>
    <row r="488" spans="1:8">
      <c r="A488" t="s">
        <v>632</v>
      </c>
      <c r="H488" t="s">
        <v>1201</v>
      </c>
    </row>
    <row r="489" spans="1:8">
      <c r="A489" t="s">
        <v>633</v>
      </c>
      <c r="H489" t="s">
        <v>1202</v>
      </c>
    </row>
    <row r="490" spans="1:8">
      <c r="A490" t="s">
        <v>634</v>
      </c>
      <c r="H490" t="s">
        <v>1203</v>
      </c>
    </row>
    <row r="491" spans="1:8">
      <c r="A491" t="s">
        <v>635</v>
      </c>
      <c r="H491" t="s">
        <v>1204</v>
      </c>
    </row>
    <row r="492" spans="1:8">
      <c r="A492" t="s">
        <v>636</v>
      </c>
      <c r="H492" t="s">
        <v>1205</v>
      </c>
    </row>
    <row r="493" spans="1:8">
      <c r="A493" t="s">
        <v>637</v>
      </c>
      <c r="H493" t="s">
        <v>1206</v>
      </c>
    </row>
    <row r="494" spans="1:8">
      <c r="A494" t="s">
        <v>638</v>
      </c>
      <c r="H494" t="s">
        <v>1207</v>
      </c>
    </row>
    <row r="495" spans="1:8">
      <c r="A495" t="s">
        <v>639</v>
      </c>
      <c r="H495" t="s">
        <v>1208</v>
      </c>
    </row>
    <row r="496" spans="1:8">
      <c r="A496" t="s">
        <v>640</v>
      </c>
      <c r="H496" t="s">
        <v>1209</v>
      </c>
    </row>
    <row r="497" spans="1:8">
      <c r="A497" t="s">
        <v>641</v>
      </c>
      <c r="H497" t="s">
        <v>1210</v>
      </c>
    </row>
    <row r="498" spans="1:8">
      <c r="A498" t="s">
        <v>642</v>
      </c>
      <c r="H498" t="s">
        <v>1211</v>
      </c>
    </row>
    <row r="499" spans="1:8">
      <c r="A499" t="s">
        <v>643</v>
      </c>
      <c r="H499" t="s">
        <v>1212</v>
      </c>
    </row>
    <row r="500" spans="1:8">
      <c r="A500" t="s">
        <v>644</v>
      </c>
      <c r="H500" t="s">
        <v>1213</v>
      </c>
    </row>
    <row r="501" spans="1:8">
      <c r="A501" t="s">
        <v>645</v>
      </c>
      <c r="H501" t="s">
        <v>1214</v>
      </c>
    </row>
    <row r="502" spans="1:8">
      <c r="A502" t="s">
        <v>646</v>
      </c>
      <c r="H502" t="s">
        <v>1215</v>
      </c>
    </row>
    <row r="503" spans="1:8">
      <c r="A503" t="s">
        <v>647</v>
      </c>
      <c r="H503" t="s">
        <v>1216</v>
      </c>
    </row>
    <row r="504" spans="1:8">
      <c r="A504" t="s">
        <v>648</v>
      </c>
      <c r="H504" t="s">
        <v>1217</v>
      </c>
    </row>
    <row r="505" spans="1:8">
      <c r="A505" t="s">
        <v>649</v>
      </c>
      <c r="H505" t="s">
        <v>1218</v>
      </c>
    </row>
    <row r="506" spans="1:8">
      <c r="A506" t="s">
        <v>650</v>
      </c>
      <c r="H506" t="s">
        <v>1219</v>
      </c>
    </row>
    <row r="507" spans="1:8">
      <c r="A507" t="s">
        <v>651</v>
      </c>
      <c r="H507" t="s">
        <v>1220</v>
      </c>
    </row>
    <row r="508" spans="1:8">
      <c r="A508" t="s">
        <v>652</v>
      </c>
      <c r="H508" t="s">
        <v>1221</v>
      </c>
    </row>
    <row r="509" spans="1:8">
      <c r="A509" t="s">
        <v>653</v>
      </c>
      <c r="H509" t="s">
        <v>1222</v>
      </c>
    </row>
    <row r="510" spans="1:8">
      <c r="A510" t="s">
        <v>654</v>
      </c>
      <c r="H510" t="s">
        <v>1223</v>
      </c>
    </row>
    <row r="511" spans="1:8">
      <c r="A511" t="s">
        <v>655</v>
      </c>
      <c r="H511" t="s">
        <v>1224</v>
      </c>
    </row>
    <row r="512" spans="1:8">
      <c r="A512" t="s">
        <v>656</v>
      </c>
      <c r="H512" t="s">
        <v>1225</v>
      </c>
    </row>
    <row r="513" spans="1:8">
      <c r="A513" t="s">
        <v>657</v>
      </c>
      <c r="H513" t="s">
        <v>1226</v>
      </c>
    </row>
    <row r="514" spans="1:8">
      <c r="A514" t="s">
        <v>658</v>
      </c>
      <c r="H514" t="s">
        <v>1227</v>
      </c>
    </row>
    <row r="515" spans="1:8">
      <c r="A515" t="s">
        <v>659</v>
      </c>
      <c r="H515" t="s">
        <v>1228</v>
      </c>
    </row>
    <row r="516" spans="1:8">
      <c r="A516" t="s">
        <v>660</v>
      </c>
      <c r="H516" t="s">
        <v>1229</v>
      </c>
    </row>
    <row r="517" spans="1:8">
      <c r="A517" t="s">
        <v>661</v>
      </c>
      <c r="H517" t="s">
        <v>1230</v>
      </c>
    </row>
    <row r="518" spans="1:8">
      <c r="A518" t="s">
        <v>662</v>
      </c>
      <c r="H518" t="s">
        <v>1231</v>
      </c>
    </row>
    <row r="519" spans="1:8">
      <c r="A519" t="s">
        <v>663</v>
      </c>
      <c r="H519" t="s">
        <v>1232</v>
      </c>
    </row>
    <row r="520" spans="1:8">
      <c r="A520" t="s">
        <v>664</v>
      </c>
      <c r="H520" t="s">
        <v>1233</v>
      </c>
    </row>
    <row r="521" spans="1:8">
      <c r="A521" t="s">
        <v>665</v>
      </c>
      <c r="H521" t="s">
        <v>1234</v>
      </c>
    </row>
    <row r="522" spans="1:8">
      <c r="A522" t="s">
        <v>666</v>
      </c>
      <c r="H522" t="s">
        <v>1235</v>
      </c>
    </row>
    <row r="523" spans="1:8">
      <c r="A523" t="s">
        <v>667</v>
      </c>
      <c r="H523" t="s">
        <v>1236</v>
      </c>
    </row>
    <row r="524" spans="1:8">
      <c r="A524" t="s">
        <v>668</v>
      </c>
      <c r="H524" t="s">
        <v>1237</v>
      </c>
    </row>
    <row r="525" spans="1:8">
      <c r="A525" t="s">
        <v>669</v>
      </c>
      <c r="H525" t="s">
        <v>1238</v>
      </c>
    </row>
    <row r="526" spans="1:8">
      <c r="A526" t="s">
        <v>670</v>
      </c>
      <c r="H526" t="s">
        <v>1239</v>
      </c>
    </row>
    <row r="527" spans="1:8">
      <c r="A527" t="s">
        <v>671</v>
      </c>
      <c r="H527" t="s">
        <v>1240</v>
      </c>
    </row>
    <row r="528" spans="1:8">
      <c r="A528" t="s">
        <v>672</v>
      </c>
      <c r="H528" t="s">
        <v>1241</v>
      </c>
    </row>
    <row r="529" spans="1:8">
      <c r="A529" t="s">
        <v>673</v>
      </c>
      <c r="H529" t="s">
        <v>1242</v>
      </c>
    </row>
    <row r="530" spans="1:8">
      <c r="A530" t="s">
        <v>674</v>
      </c>
      <c r="H530" t="s">
        <v>1243</v>
      </c>
    </row>
    <row r="531" spans="1:8">
      <c r="A531" t="s">
        <v>675</v>
      </c>
      <c r="H531" t="s">
        <v>1244</v>
      </c>
    </row>
    <row r="532" spans="1:8">
      <c r="A532" t="s">
        <v>676</v>
      </c>
      <c r="H532" t="s">
        <v>1245</v>
      </c>
    </row>
    <row r="533" spans="1:8">
      <c r="A533" t="s">
        <v>677</v>
      </c>
      <c r="H533" t="s">
        <v>1246</v>
      </c>
    </row>
    <row r="534" spans="1:8">
      <c r="A534" t="s">
        <v>678</v>
      </c>
      <c r="H534" t="s">
        <v>1247</v>
      </c>
    </row>
    <row r="535" spans="1:8">
      <c r="A535" t="s">
        <v>679</v>
      </c>
      <c r="H535" t="s">
        <v>1248</v>
      </c>
    </row>
    <row r="536" spans="1:8">
      <c r="A536" t="s">
        <v>680</v>
      </c>
      <c r="H536" t="s">
        <v>1249</v>
      </c>
    </row>
    <row r="537" spans="1:8">
      <c r="A537" t="s">
        <v>681</v>
      </c>
      <c r="H537" t="s">
        <v>1250</v>
      </c>
    </row>
    <row r="538" spans="1:8">
      <c r="A538" t="s">
        <v>682</v>
      </c>
      <c r="H538" t="s">
        <v>1251</v>
      </c>
    </row>
    <row r="539" spans="1:8">
      <c r="A539" t="s">
        <v>683</v>
      </c>
      <c r="H539" t="s">
        <v>1252</v>
      </c>
    </row>
    <row r="540" spans="1:8">
      <c r="A540" t="s">
        <v>684</v>
      </c>
      <c r="H540" t="s">
        <v>1253</v>
      </c>
    </row>
    <row r="541" spans="1:8">
      <c r="A541" t="s">
        <v>685</v>
      </c>
      <c r="H541" t="s">
        <v>1254</v>
      </c>
    </row>
    <row r="542" spans="1:8">
      <c r="A542" t="s">
        <v>686</v>
      </c>
      <c r="H542" t="s">
        <v>1255</v>
      </c>
    </row>
    <row r="543" spans="1:8">
      <c r="A543" t="s">
        <v>687</v>
      </c>
      <c r="H543" t="s">
        <v>1256</v>
      </c>
    </row>
    <row r="544" spans="1:8">
      <c r="A544" t="s">
        <v>688</v>
      </c>
      <c r="H544" t="s">
        <v>1257</v>
      </c>
    </row>
    <row r="545" spans="1:8">
      <c r="A545" t="s">
        <v>689</v>
      </c>
      <c r="H545" t="s">
        <v>1258</v>
      </c>
    </row>
    <row r="546" spans="1:8">
      <c r="A546" t="s">
        <v>690</v>
      </c>
      <c r="H546" t="s">
        <v>1259</v>
      </c>
    </row>
    <row r="547" spans="1:8">
      <c r="A547" t="s">
        <v>691</v>
      </c>
      <c r="H547" t="s">
        <v>1260</v>
      </c>
    </row>
    <row r="548" spans="1:8">
      <c r="A548" t="s">
        <v>692</v>
      </c>
      <c r="H548" t="s">
        <v>1261</v>
      </c>
    </row>
    <row r="549" spans="1:8">
      <c r="A549" t="s">
        <v>693</v>
      </c>
      <c r="H549" t="s">
        <v>1262</v>
      </c>
    </row>
    <row r="550" spans="1:8">
      <c r="A550" t="s">
        <v>694</v>
      </c>
      <c r="H550" t="s">
        <v>1263</v>
      </c>
    </row>
    <row r="551" spans="1:8">
      <c r="A551" t="s">
        <v>695</v>
      </c>
      <c r="H551" t="s">
        <v>1264</v>
      </c>
    </row>
    <row r="552" spans="1:8">
      <c r="A552" t="s">
        <v>696</v>
      </c>
      <c r="H552" t="s">
        <v>1265</v>
      </c>
    </row>
    <row r="553" spans="1:8">
      <c r="A553" t="s">
        <v>697</v>
      </c>
      <c r="H553" t="s">
        <v>1266</v>
      </c>
    </row>
    <row r="554" spans="1:8">
      <c r="A554" t="s">
        <v>698</v>
      </c>
      <c r="H554" t="s">
        <v>1267</v>
      </c>
    </row>
    <row r="555" spans="1:8">
      <c r="A555" t="s">
        <v>699</v>
      </c>
      <c r="H555" t="s">
        <v>1268</v>
      </c>
    </row>
    <row r="556" spans="1:8">
      <c r="A556" t="s">
        <v>700</v>
      </c>
      <c r="H556" t="s">
        <v>1269</v>
      </c>
    </row>
    <row r="557" spans="1:8">
      <c r="A557" t="s">
        <v>701</v>
      </c>
      <c r="H557" t="s">
        <v>1270</v>
      </c>
    </row>
    <row r="558" spans="1:8">
      <c r="A558" t="s">
        <v>702</v>
      </c>
      <c r="H558" t="s">
        <v>1271</v>
      </c>
    </row>
    <row r="559" spans="1:8">
      <c r="A559" t="s">
        <v>703</v>
      </c>
      <c r="H559" t="s">
        <v>1272</v>
      </c>
    </row>
    <row r="560" spans="1:8">
      <c r="A560" t="s">
        <v>704</v>
      </c>
      <c r="H560" t="s">
        <v>1273</v>
      </c>
    </row>
    <row r="561" spans="1:8">
      <c r="A561" t="s">
        <v>705</v>
      </c>
      <c r="H561" t="s">
        <v>1274</v>
      </c>
    </row>
    <row r="562" spans="1:8">
      <c r="A562" t="s">
        <v>706</v>
      </c>
      <c r="H562" t="s">
        <v>1275</v>
      </c>
    </row>
    <row r="563" spans="1:8">
      <c r="A563" t="s">
        <v>707</v>
      </c>
      <c r="H563" t="s">
        <v>1276</v>
      </c>
    </row>
    <row r="564" spans="1:8">
      <c r="A564" t="s">
        <v>708</v>
      </c>
      <c r="H564" t="s">
        <v>1277</v>
      </c>
    </row>
    <row r="565" spans="1:8">
      <c r="A565" t="s">
        <v>709</v>
      </c>
      <c r="H565" t="s">
        <v>1278</v>
      </c>
    </row>
    <row r="566" spans="1:8">
      <c r="A566" t="s">
        <v>710</v>
      </c>
      <c r="H566" t="s">
        <v>1279</v>
      </c>
    </row>
    <row r="567" spans="1:8">
      <c r="A567" t="s">
        <v>711</v>
      </c>
      <c r="H567" t="s">
        <v>1280</v>
      </c>
    </row>
    <row r="568" spans="1:8">
      <c r="A568" t="s">
        <v>712</v>
      </c>
      <c r="H568" t="s">
        <v>1281</v>
      </c>
    </row>
    <row r="569" spans="1:8">
      <c r="A569" t="s">
        <v>713</v>
      </c>
      <c r="H569" t="s">
        <v>1282</v>
      </c>
    </row>
    <row r="570" spans="1:8">
      <c r="A570" t="s">
        <v>714</v>
      </c>
      <c r="H570" t="s">
        <v>1283</v>
      </c>
    </row>
    <row r="571" spans="1:8">
      <c r="A571" t="s">
        <v>715</v>
      </c>
      <c r="H571" t="s">
        <v>1284</v>
      </c>
    </row>
    <row r="572" spans="1:8">
      <c r="A572" t="s">
        <v>716</v>
      </c>
      <c r="H572" t="s">
        <v>1285</v>
      </c>
    </row>
    <row r="573" spans="1:8">
      <c r="A573" t="s">
        <v>717</v>
      </c>
      <c r="H573" t="s">
        <v>1286</v>
      </c>
    </row>
    <row r="574" spans="1:8">
      <c r="A574" t="s">
        <v>718</v>
      </c>
      <c r="H574" t="s">
        <v>1287</v>
      </c>
    </row>
    <row r="575" spans="1:8">
      <c r="A575" t="s">
        <v>719</v>
      </c>
      <c r="H575" t="s">
        <v>1288</v>
      </c>
    </row>
    <row r="576" spans="1:8">
      <c r="A576" t="s">
        <v>720</v>
      </c>
      <c r="H576" t="s">
        <v>1289</v>
      </c>
    </row>
    <row r="577" spans="1:8">
      <c r="A577" t="s">
        <v>721</v>
      </c>
      <c r="H577" t="s">
        <v>1290</v>
      </c>
    </row>
    <row r="578" spans="1:8">
      <c r="A578" t="s">
        <v>722</v>
      </c>
      <c r="H578" t="s">
        <v>1291</v>
      </c>
    </row>
    <row r="579" spans="1:8">
      <c r="A579" t="s">
        <v>723</v>
      </c>
      <c r="H579" t="s">
        <v>1292</v>
      </c>
    </row>
    <row r="580" spans="1:8">
      <c r="A580" t="s">
        <v>724</v>
      </c>
      <c r="H580" t="s">
        <v>1293</v>
      </c>
    </row>
    <row r="581" spans="1:8">
      <c r="A581" t="s">
        <v>725</v>
      </c>
      <c r="H581" t="s">
        <v>1294</v>
      </c>
    </row>
    <row r="582" spans="1:8">
      <c r="A582" t="s">
        <v>726</v>
      </c>
      <c r="H582" t="s">
        <v>1295</v>
      </c>
    </row>
    <row r="583" spans="1:8">
      <c r="A583" t="s">
        <v>727</v>
      </c>
      <c r="H583" t="s">
        <v>1296</v>
      </c>
    </row>
    <row r="584" spans="1:8">
      <c r="A584" t="s">
        <v>728</v>
      </c>
      <c r="H584" t="s">
        <v>1297</v>
      </c>
    </row>
    <row r="585" spans="1:8">
      <c r="A585" t="s">
        <v>729</v>
      </c>
      <c r="H585" t="s">
        <v>1298</v>
      </c>
    </row>
    <row r="586" spans="1:8">
      <c r="A586" t="s">
        <v>730</v>
      </c>
      <c r="H586" t="s">
        <v>1299</v>
      </c>
    </row>
    <row r="587" spans="1:8">
      <c r="A587" t="s">
        <v>731</v>
      </c>
      <c r="H587" t="s">
        <v>1300</v>
      </c>
    </row>
    <row r="588" spans="1:8">
      <c r="A588" t="s">
        <v>732</v>
      </c>
      <c r="H588" t="s">
        <v>1301</v>
      </c>
    </row>
    <row r="589" spans="1:8">
      <c r="A589" t="s">
        <v>733</v>
      </c>
      <c r="H589" t="s">
        <v>1302</v>
      </c>
    </row>
    <row r="590" spans="1:8">
      <c r="A590" t="s">
        <v>734</v>
      </c>
      <c r="H590" t="s">
        <v>1303</v>
      </c>
    </row>
    <row r="591" spans="1:8">
      <c r="A591" t="s">
        <v>735</v>
      </c>
      <c r="H591" t="s">
        <v>1304</v>
      </c>
    </row>
    <row r="592" spans="1:8">
      <c r="A592" t="s">
        <v>736</v>
      </c>
      <c r="H592" t="s">
        <v>1305</v>
      </c>
    </row>
    <row r="593" spans="1:9">
      <c r="A593" t="s">
        <v>737</v>
      </c>
      <c r="H593" t="s">
        <v>1306</v>
      </c>
    </row>
    <row r="594" spans="1:9">
      <c r="A594" t="s">
        <v>738</v>
      </c>
      <c r="H594" t="s">
        <v>1306</v>
      </c>
    </row>
    <row r="595" spans="1:9">
      <c r="A595" t="s">
        <v>739</v>
      </c>
      <c r="H595" t="s">
        <v>1307</v>
      </c>
    </row>
    <row r="596" spans="1:9">
      <c r="A596" t="s">
        <v>740</v>
      </c>
      <c r="B596" t="s">
        <v>175</v>
      </c>
      <c r="H596" t="s">
        <v>1308</v>
      </c>
    </row>
    <row r="597" spans="1:9">
      <c r="A597" t="s">
        <v>741</v>
      </c>
      <c r="B597" t="s">
        <v>177</v>
      </c>
      <c r="H597" t="s">
        <v>1309</v>
      </c>
    </row>
    <row r="598" spans="1:9">
      <c r="A598" t="s">
        <v>742</v>
      </c>
      <c r="B598" t="s">
        <v>179</v>
      </c>
      <c r="H598" t="s">
        <v>1310</v>
      </c>
      <c r="I598" t="s">
        <v>175</v>
      </c>
    </row>
    <row r="599" spans="1:9">
      <c r="A599" t="s">
        <v>743</v>
      </c>
      <c r="B599" t="s">
        <v>181</v>
      </c>
      <c r="H599" t="s">
        <v>1311</v>
      </c>
      <c r="I599" t="s">
        <v>177</v>
      </c>
    </row>
    <row r="600" spans="1:9">
      <c r="A600" t="s">
        <v>744</v>
      </c>
      <c r="H600" t="s">
        <v>1312</v>
      </c>
      <c r="I600" t="s">
        <v>179</v>
      </c>
    </row>
    <row r="601" spans="1:9">
      <c r="A601" t="s">
        <v>745</v>
      </c>
      <c r="B601" t="s">
        <v>184</v>
      </c>
      <c r="H601" t="s">
        <v>1313</v>
      </c>
      <c r="I601" t="s">
        <v>769</v>
      </c>
    </row>
    <row r="602" spans="1:9">
      <c r="A602" t="s">
        <v>746</v>
      </c>
      <c r="B602" t="s">
        <v>186</v>
      </c>
      <c r="H602" t="s">
        <v>1314</v>
      </c>
    </row>
    <row r="603" spans="1:9">
      <c r="A603" t="s">
        <v>747</v>
      </c>
      <c r="B603" t="s">
        <v>188</v>
      </c>
      <c r="H603" t="s">
        <v>1315</v>
      </c>
      <c r="I603" t="s">
        <v>184</v>
      </c>
    </row>
    <row r="604" spans="1:9">
      <c r="A604" t="s">
        <v>748</v>
      </c>
      <c r="B604" t="s">
        <v>749</v>
      </c>
      <c r="H604" t="s">
        <v>1316</v>
      </c>
      <c r="I604" t="s">
        <v>186</v>
      </c>
    </row>
    <row r="605" spans="1:9">
      <c r="A605" t="s">
        <v>750</v>
      </c>
      <c r="H605" t="s">
        <v>1317</v>
      </c>
      <c r="I605" t="s">
        <v>188</v>
      </c>
    </row>
    <row r="606" spans="1:9">
      <c r="A606" t="s">
        <v>751</v>
      </c>
      <c r="B606" t="s">
        <v>193</v>
      </c>
      <c r="H606" t="s">
        <v>1318</v>
      </c>
      <c r="I606" t="s">
        <v>1319</v>
      </c>
    </row>
    <row r="607" spans="1:9">
      <c r="A607" t="s">
        <v>752</v>
      </c>
      <c r="B607" t="s">
        <v>195</v>
      </c>
      <c r="H607" t="s">
        <v>1320</v>
      </c>
    </row>
    <row r="608" spans="1:9">
      <c r="A608" t="s">
        <v>753</v>
      </c>
      <c r="B608" t="s">
        <v>197</v>
      </c>
      <c r="H608" t="s">
        <v>1321</v>
      </c>
      <c r="I608" t="s">
        <v>193</v>
      </c>
    </row>
    <row r="609" spans="1:9">
      <c r="A609" t="s">
        <v>754</v>
      </c>
      <c r="B609" t="s">
        <v>199</v>
      </c>
      <c r="H609" t="s">
        <v>1322</v>
      </c>
      <c r="I609" t="s">
        <v>195</v>
      </c>
    </row>
    <row r="610" spans="1:9">
      <c r="A610" t="s">
        <v>755</v>
      </c>
      <c r="H610" t="s">
        <v>1323</v>
      </c>
      <c r="I610" t="s">
        <v>197</v>
      </c>
    </row>
    <row r="611" spans="1:9">
      <c r="A611" t="s">
        <v>756</v>
      </c>
      <c r="B611" t="s">
        <v>757</v>
      </c>
      <c r="H611" t="s">
        <v>1324</v>
      </c>
      <c r="I611" t="s">
        <v>199</v>
      </c>
    </row>
    <row r="612" spans="1:9">
      <c r="A612" t="s">
        <v>758</v>
      </c>
      <c r="H612" t="s">
        <v>1325</v>
      </c>
    </row>
    <row r="613" spans="1:9">
      <c r="A613" t="s">
        <v>759</v>
      </c>
      <c r="H613" t="s">
        <v>1326</v>
      </c>
      <c r="I613" t="s">
        <v>757</v>
      </c>
    </row>
    <row r="614" spans="1:9">
      <c r="H614" t="s">
        <v>1327</v>
      </c>
    </row>
    <row r="615" spans="1:9">
      <c r="H615" t="s">
        <v>1328</v>
      </c>
    </row>
  </sheetData>
  <mergeCells count="1">
    <mergeCell ref="K8:P12"/>
  </mergeCells>
  <pageMargins left="0.7" right="0.7" top="0.75" bottom="0.75" header="0.3" footer="0.3"/>
  <pageSetup paperSize="9"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7"/>
  <sheetViews>
    <sheetView workbookViewId="0">
      <selection activeCell="A17" sqref="A17"/>
    </sheetView>
  </sheetViews>
  <sheetFormatPr defaultColWidth="8.85546875" defaultRowHeight="15"/>
  <sheetData>
    <row r="1" spans="1:1">
      <c r="A1" t="s">
        <v>98</v>
      </c>
    </row>
    <row r="2" spans="1:1">
      <c r="A2" t="s">
        <v>99</v>
      </c>
    </row>
    <row r="3" spans="1:1">
      <c r="A3" t="s">
        <v>100</v>
      </c>
    </row>
    <row r="4" spans="1:1">
      <c r="A4" t="s">
        <v>101</v>
      </c>
    </row>
    <row r="5" spans="1:1">
      <c r="A5" t="s">
        <v>102</v>
      </c>
    </row>
    <row r="6" spans="1:1">
      <c r="A6" t="s">
        <v>103</v>
      </c>
    </row>
    <row r="8" spans="1:1">
      <c r="A8" t="s">
        <v>104</v>
      </c>
    </row>
    <row r="11" spans="1:1">
      <c r="A11" s="127" t="s">
        <v>1737</v>
      </c>
    </row>
    <row r="12" spans="1:1">
      <c r="A12" t="s">
        <v>1738</v>
      </c>
    </row>
    <row r="13" spans="1:1">
      <c r="A13" t="s">
        <v>1739</v>
      </c>
    </row>
    <row r="14" spans="1:1">
      <c r="A14" t="s">
        <v>1740</v>
      </c>
    </row>
    <row r="16" spans="1:1">
      <c r="A16" s="127" t="s">
        <v>2392</v>
      </c>
    </row>
    <row r="17" spans="1:1">
      <c r="A17" t="s">
        <v>2393</v>
      </c>
    </row>
  </sheetData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DB556-FEBF-466A-8AC5-9495FCA09CF4}">
  <dimension ref="A1:AR75"/>
  <sheetViews>
    <sheetView topLeftCell="A37" workbookViewId="0">
      <selection activeCell="G70" sqref="G70"/>
    </sheetView>
  </sheetViews>
  <sheetFormatPr defaultRowHeight="15"/>
  <cols>
    <col min="6" max="6" width="25" bestFit="1" customWidth="1"/>
    <col min="7" max="7" width="36.28515625" bestFit="1" customWidth="1"/>
  </cols>
  <sheetData>
    <row r="1" spans="1:44">
      <c r="A1" s="1" t="s">
        <v>165</v>
      </c>
      <c r="B1" s="1" t="s">
        <v>164</v>
      </c>
      <c r="C1" s="1" t="s">
        <v>163</v>
      </c>
      <c r="D1" s="119" t="s">
        <v>162</v>
      </c>
      <c r="E1" s="118" t="s">
        <v>161</v>
      </c>
      <c r="F1" s="118" t="s">
        <v>160</v>
      </c>
      <c r="G1" s="1" t="s">
        <v>159</v>
      </c>
      <c r="H1" s="127" t="s">
        <v>158</v>
      </c>
    </row>
    <row r="2" spans="1:44">
      <c r="A2" s="126" t="s">
        <v>1803</v>
      </c>
      <c r="D2" s="123" t="s">
        <v>157</v>
      </c>
      <c r="E2" s="125" t="s">
        <v>156</v>
      </c>
      <c r="F2" s="125"/>
    </row>
    <row r="3" spans="1:44">
      <c r="A3" s="124"/>
      <c r="D3" s="123"/>
      <c r="E3" s="122" t="s">
        <v>155</v>
      </c>
      <c r="F3" s="122"/>
      <c r="H3" s="52" t="s">
        <v>1746</v>
      </c>
    </row>
    <row r="4" spans="1:44">
      <c r="A4" s="121" t="s">
        <v>1804</v>
      </c>
      <c r="B4" s="120"/>
      <c r="C4" s="1"/>
      <c r="D4" s="119" t="s">
        <v>154</v>
      </c>
      <c r="E4" s="118" t="s">
        <v>153</v>
      </c>
      <c r="F4" s="118"/>
    </row>
    <row r="5" spans="1:44" s="98" customFormat="1">
      <c r="A5" s="103" t="s">
        <v>166</v>
      </c>
      <c r="B5" s="117" t="s">
        <v>1716</v>
      </c>
      <c r="C5" s="116"/>
      <c r="E5" s="115"/>
      <c r="F5" s="114"/>
      <c r="G5" s="103"/>
      <c r="H5" s="113"/>
      <c r="I5" s="102" t="s">
        <v>152</v>
      </c>
      <c r="J5" s="99"/>
      <c r="K5" s="99"/>
      <c r="L5" s="99"/>
      <c r="M5" s="112"/>
      <c r="N5" s="112"/>
      <c r="O5" s="112"/>
      <c r="P5" s="112"/>
      <c r="Q5" s="111"/>
      <c r="R5" s="99"/>
      <c r="S5" s="99"/>
      <c r="T5" s="110"/>
      <c r="U5" s="110"/>
      <c r="V5" s="109"/>
      <c r="W5" s="108"/>
      <c r="X5" s="107"/>
      <c r="Y5" s="106"/>
      <c r="Z5" s="99"/>
      <c r="AA5" s="99"/>
      <c r="AB5" s="105"/>
      <c r="AC5" s="105"/>
      <c r="AD5" s="104"/>
      <c r="AE5" s="104"/>
      <c r="AG5" s="104"/>
      <c r="AH5" s="103"/>
      <c r="AJ5" s="102"/>
      <c r="AL5" s="99"/>
      <c r="AM5" s="101"/>
      <c r="AN5" s="100"/>
      <c r="AO5" s="99"/>
      <c r="AP5" s="99"/>
      <c r="AQ5" s="99"/>
      <c r="AR5" s="99"/>
    </row>
    <row r="6" spans="1:44">
      <c r="A6">
        <v>2020</v>
      </c>
      <c r="B6" t="s">
        <v>105</v>
      </c>
      <c r="C6" t="s">
        <v>1717</v>
      </c>
      <c r="D6">
        <v>2</v>
      </c>
      <c r="F6" s="139">
        <v>44321</v>
      </c>
      <c r="G6" t="s">
        <v>1743</v>
      </c>
      <c r="H6" t="s">
        <v>1744</v>
      </c>
    </row>
    <row r="7" spans="1:44">
      <c r="A7">
        <v>2020</v>
      </c>
      <c r="B7" t="s">
        <v>105</v>
      </c>
      <c r="C7">
        <v>2</v>
      </c>
      <c r="D7">
        <v>3</v>
      </c>
      <c r="F7" s="139">
        <v>44321</v>
      </c>
      <c r="H7" t="s">
        <v>1744</v>
      </c>
    </row>
    <row r="8" spans="1:44">
      <c r="A8">
        <v>2020</v>
      </c>
      <c r="B8" t="s">
        <v>105</v>
      </c>
      <c r="C8">
        <v>3</v>
      </c>
      <c r="D8">
        <v>3</v>
      </c>
      <c r="F8" s="139">
        <v>44321</v>
      </c>
      <c r="H8" t="s">
        <v>1744</v>
      </c>
    </row>
    <row r="9" spans="1:44">
      <c r="A9">
        <v>2020</v>
      </c>
      <c r="B9" t="s">
        <v>105</v>
      </c>
      <c r="C9">
        <v>4</v>
      </c>
      <c r="D9">
        <v>3</v>
      </c>
      <c r="F9" s="139">
        <v>44321</v>
      </c>
      <c r="H9" t="s">
        <v>1744</v>
      </c>
    </row>
    <row r="10" spans="1:44">
      <c r="A10">
        <v>2020</v>
      </c>
      <c r="B10" t="s">
        <v>105</v>
      </c>
      <c r="C10">
        <v>5</v>
      </c>
      <c r="D10">
        <v>4</v>
      </c>
      <c r="F10" s="139">
        <v>44321</v>
      </c>
      <c r="H10" t="s">
        <v>1744</v>
      </c>
    </row>
    <row r="11" spans="1:44">
      <c r="A11">
        <v>2020</v>
      </c>
      <c r="B11" t="s">
        <v>105</v>
      </c>
      <c r="C11">
        <v>6</v>
      </c>
      <c r="D11">
        <v>4</v>
      </c>
      <c r="F11" s="139">
        <v>44321</v>
      </c>
      <c r="H11" t="s">
        <v>1744</v>
      </c>
    </row>
    <row r="12" spans="1:44">
      <c r="A12">
        <v>2020</v>
      </c>
      <c r="B12" t="s">
        <v>105</v>
      </c>
      <c r="C12">
        <v>7</v>
      </c>
      <c r="D12">
        <v>3</v>
      </c>
      <c r="F12" s="139">
        <v>44322</v>
      </c>
      <c r="H12" t="s">
        <v>1744</v>
      </c>
    </row>
    <row r="13" spans="1:44">
      <c r="A13">
        <v>2020</v>
      </c>
      <c r="B13" t="s">
        <v>105</v>
      </c>
      <c r="C13">
        <v>8</v>
      </c>
      <c r="D13">
        <v>3</v>
      </c>
      <c r="F13" s="139">
        <v>44322</v>
      </c>
      <c r="H13" t="s">
        <v>1744</v>
      </c>
    </row>
    <row r="14" spans="1:44">
      <c r="A14">
        <v>2020</v>
      </c>
      <c r="B14" t="s">
        <v>105</v>
      </c>
      <c r="C14">
        <v>9</v>
      </c>
      <c r="D14">
        <v>2</v>
      </c>
      <c r="F14" s="139">
        <v>44322</v>
      </c>
      <c r="H14" t="s">
        <v>1744</v>
      </c>
    </row>
    <row r="15" spans="1:44">
      <c r="A15">
        <v>2020</v>
      </c>
      <c r="B15" t="s">
        <v>105</v>
      </c>
      <c r="C15">
        <v>10</v>
      </c>
      <c r="D15">
        <v>2</v>
      </c>
      <c r="F15" s="139">
        <v>44322</v>
      </c>
      <c r="H15" t="s">
        <v>1744</v>
      </c>
    </row>
    <row r="16" spans="1:44">
      <c r="A16">
        <v>2020</v>
      </c>
      <c r="B16" t="s">
        <v>105</v>
      </c>
      <c r="C16">
        <v>11</v>
      </c>
      <c r="D16">
        <v>15</v>
      </c>
      <c r="F16" s="139">
        <v>44322</v>
      </c>
      <c r="G16" t="s">
        <v>1742</v>
      </c>
      <c r="H16" t="s">
        <v>1744</v>
      </c>
    </row>
    <row r="17" spans="1:44">
      <c r="A17">
        <v>2020</v>
      </c>
      <c r="B17" t="s">
        <v>105</v>
      </c>
      <c r="C17">
        <v>12</v>
      </c>
      <c r="D17">
        <v>10</v>
      </c>
      <c r="F17" s="139">
        <v>44322</v>
      </c>
      <c r="H17" t="s">
        <v>1744</v>
      </c>
    </row>
    <row r="18" spans="1:44">
      <c r="A18">
        <v>2020</v>
      </c>
      <c r="B18" t="s">
        <v>105</v>
      </c>
      <c r="C18">
        <v>13</v>
      </c>
      <c r="D18">
        <v>13</v>
      </c>
      <c r="F18" s="139">
        <v>44322</v>
      </c>
      <c r="H18" t="s">
        <v>1744</v>
      </c>
    </row>
    <row r="19" spans="1:44">
      <c r="A19">
        <v>2020</v>
      </c>
      <c r="B19" t="s">
        <v>105</v>
      </c>
      <c r="C19">
        <v>14</v>
      </c>
      <c r="D19">
        <v>7</v>
      </c>
      <c r="F19" s="139">
        <v>44322</v>
      </c>
      <c r="H19" t="s">
        <v>1744</v>
      </c>
    </row>
    <row r="20" spans="1:44">
      <c r="A20">
        <v>2020</v>
      </c>
      <c r="B20" t="s">
        <v>105</v>
      </c>
      <c r="C20">
        <v>15</v>
      </c>
      <c r="D20">
        <v>2</v>
      </c>
      <c r="F20" s="139">
        <v>44322</v>
      </c>
      <c r="H20" t="s">
        <v>1744</v>
      </c>
    </row>
    <row r="21" spans="1:44">
      <c r="A21">
        <v>2020</v>
      </c>
      <c r="B21" t="s">
        <v>105</v>
      </c>
      <c r="C21">
        <v>16</v>
      </c>
      <c r="D21">
        <v>2</v>
      </c>
      <c r="F21" s="139">
        <v>44322</v>
      </c>
      <c r="H21" t="s">
        <v>1744</v>
      </c>
    </row>
    <row r="22" spans="1:44">
      <c r="A22">
        <v>2020</v>
      </c>
      <c r="B22" t="s">
        <v>105</v>
      </c>
      <c r="C22">
        <v>17</v>
      </c>
      <c r="D22">
        <v>2</v>
      </c>
      <c r="F22" s="139">
        <v>44322</v>
      </c>
      <c r="G22" t="s">
        <v>1741</v>
      </c>
      <c r="H22" t="s">
        <v>1744</v>
      </c>
    </row>
    <row r="23" spans="1:44">
      <c r="A23">
        <v>2020</v>
      </c>
      <c r="B23" t="s">
        <v>105</v>
      </c>
      <c r="C23">
        <v>18</v>
      </c>
      <c r="D23">
        <v>1</v>
      </c>
      <c r="F23" s="139">
        <v>44322</v>
      </c>
      <c r="H23" t="s">
        <v>1744</v>
      </c>
    </row>
    <row r="24" spans="1:44">
      <c r="A24">
        <v>2020</v>
      </c>
      <c r="B24" t="s">
        <v>105</v>
      </c>
      <c r="C24">
        <v>19</v>
      </c>
      <c r="D24">
        <v>2</v>
      </c>
      <c r="F24" s="139">
        <v>44322</v>
      </c>
      <c r="H24" t="s">
        <v>1744</v>
      </c>
    </row>
    <row r="25" spans="1:44">
      <c r="A25">
        <v>2020</v>
      </c>
      <c r="B25" t="s">
        <v>105</v>
      </c>
      <c r="C25">
        <v>20</v>
      </c>
      <c r="D25">
        <v>3</v>
      </c>
      <c r="F25" s="139">
        <v>44322</v>
      </c>
      <c r="H25" t="s">
        <v>1744</v>
      </c>
    </row>
    <row r="26" spans="1:44">
      <c r="A26">
        <v>2020</v>
      </c>
      <c r="B26" t="s">
        <v>105</v>
      </c>
      <c r="C26">
        <v>21</v>
      </c>
      <c r="D26">
        <v>3</v>
      </c>
      <c r="F26" s="139">
        <v>44322</v>
      </c>
      <c r="H26" t="s">
        <v>1744</v>
      </c>
    </row>
    <row r="27" spans="1:44">
      <c r="A27" s="52" t="s">
        <v>1735</v>
      </c>
    </row>
    <row r="29" spans="1:44" s="98" customFormat="1">
      <c r="A29" s="103" t="s">
        <v>166</v>
      </c>
      <c r="B29" s="117" t="s">
        <v>1714</v>
      </c>
      <c r="C29" s="116"/>
      <c r="E29" s="115"/>
      <c r="F29" s="114"/>
      <c r="G29" s="103"/>
      <c r="H29" s="113"/>
      <c r="I29" s="102" t="s">
        <v>152</v>
      </c>
      <c r="J29" s="99"/>
      <c r="K29" s="99"/>
      <c r="L29" s="99"/>
      <c r="M29" s="112"/>
      <c r="N29" s="112"/>
      <c r="O29" s="112"/>
      <c r="P29" s="112"/>
      <c r="Q29" s="111"/>
      <c r="R29" s="99"/>
      <c r="S29" s="99"/>
      <c r="T29" s="110"/>
      <c r="U29" s="110"/>
      <c r="V29" s="109"/>
      <c r="W29" s="108"/>
      <c r="X29" s="107"/>
      <c r="Y29" s="106"/>
      <c r="Z29" s="99"/>
      <c r="AA29" s="99"/>
      <c r="AB29" s="105"/>
      <c r="AC29" s="105"/>
      <c r="AD29" s="104"/>
      <c r="AE29" s="104"/>
      <c r="AG29" s="104"/>
      <c r="AH29" s="103"/>
      <c r="AJ29" s="102"/>
      <c r="AL29" s="99"/>
      <c r="AM29" s="101"/>
      <c r="AN29" s="100"/>
      <c r="AO29" s="99"/>
      <c r="AP29" s="99"/>
      <c r="AQ29" s="99"/>
      <c r="AR29" s="99"/>
    </row>
    <row r="30" spans="1:44">
      <c r="A30">
        <v>2020</v>
      </c>
      <c r="B30" t="s">
        <v>108</v>
      </c>
      <c r="C30" t="s">
        <v>1715</v>
      </c>
      <c r="D30">
        <v>1</v>
      </c>
      <c r="F30" s="139">
        <v>44326</v>
      </c>
      <c r="H30" t="s">
        <v>1745</v>
      </c>
    </row>
    <row r="31" spans="1:44">
      <c r="A31">
        <v>2020</v>
      </c>
      <c r="B31" t="s">
        <v>108</v>
      </c>
      <c r="C31">
        <v>2</v>
      </c>
      <c r="D31">
        <v>2</v>
      </c>
      <c r="F31" s="139">
        <v>44326</v>
      </c>
      <c r="H31" t="s">
        <v>1745</v>
      </c>
    </row>
    <row r="32" spans="1:44">
      <c r="A32">
        <v>2020</v>
      </c>
      <c r="B32" t="s">
        <v>108</v>
      </c>
      <c r="C32">
        <v>3</v>
      </c>
      <c r="D32">
        <v>1</v>
      </c>
      <c r="F32" s="139">
        <v>44326</v>
      </c>
      <c r="H32" t="s">
        <v>1745</v>
      </c>
    </row>
    <row r="33" spans="1:8">
      <c r="A33">
        <v>2020</v>
      </c>
      <c r="B33" t="s">
        <v>108</v>
      </c>
      <c r="C33">
        <v>4</v>
      </c>
      <c r="D33">
        <v>2</v>
      </c>
      <c r="F33" s="139">
        <v>44326</v>
      </c>
      <c r="H33" t="s">
        <v>1745</v>
      </c>
    </row>
    <row r="34" spans="1:8">
      <c r="A34">
        <v>2020</v>
      </c>
      <c r="B34" t="s">
        <v>108</v>
      </c>
      <c r="C34">
        <v>5</v>
      </c>
      <c r="D34">
        <v>2</v>
      </c>
      <c r="F34" s="139">
        <v>44326</v>
      </c>
      <c r="H34" t="s">
        <v>1745</v>
      </c>
    </row>
    <row r="35" spans="1:8">
      <c r="A35">
        <v>2020</v>
      </c>
      <c r="B35" t="s">
        <v>108</v>
      </c>
      <c r="C35">
        <v>6</v>
      </c>
      <c r="D35">
        <v>2</v>
      </c>
      <c r="F35" s="139">
        <v>44326</v>
      </c>
      <c r="H35" t="s">
        <v>1745</v>
      </c>
    </row>
    <row r="36" spans="1:8">
      <c r="A36">
        <v>2020</v>
      </c>
      <c r="B36" t="s">
        <v>108</v>
      </c>
      <c r="C36">
        <v>7</v>
      </c>
      <c r="D36">
        <v>2</v>
      </c>
      <c r="F36" s="139">
        <v>44326</v>
      </c>
      <c r="H36" t="s">
        <v>1745</v>
      </c>
    </row>
    <row r="37" spans="1:8">
      <c r="A37">
        <v>2020</v>
      </c>
      <c r="B37" t="s">
        <v>108</v>
      </c>
      <c r="C37">
        <v>8</v>
      </c>
      <c r="D37">
        <v>2</v>
      </c>
      <c r="F37" s="139">
        <v>44327</v>
      </c>
      <c r="H37" t="s">
        <v>1745</v>
      </c>
    </row>
    <row r="38" spans="1:8">
      <c r="A38">
        <v>2020</v>
      </c>
      <c r="B38" t="s">
        <v>108</v>
      </c>
      <c r="C38">
        <v>9</v>
      </c>
      <c r="D38">
        <v>3</v>
      </c>
      <c r="F38" s="139">
        <v>44327</v>
      </c>
      <c r="H38" t="s">
        <v>1745</v>
      </c>
    </row>
    <row r="39" spans="1:8">
      <c r="A39">
        <v>2020</v>
      </c>
      <c r="B39" t="s">
        <v>108</v>
      </c>
      <c r="C39">
        <v>10</v>
      </c>
      <c r="D39">
        <v>4</v>
      </c>
      <c r="F39" s="139">
        <v>44327</v>
      </c>
      <c r="H39" t="s">
        <v>1745</v>
      </c>
    </row>
    <row r="40" spans="1:8">
      <c r="A40">
        <v>2020</v>
      </c>
      <c r="B40" t="s">
        <v>108</v>
      </c>
      <c r="C40">
        <v>11</v>
      </c>
      <c r="D40">
        <v>25</v>
      </c>
      <c r="F40" s="139">
        <v>44327</v>
      </c>
      <c r="H40" t="s">
        <v>1745</v>
      </c>
    </row>
    <row r="41" spans="1:8">
      <c r="A41">
        <v>2020</v>
      </c>
      <c r="B41" t="s">
        <v>108</v>
      </c>
      <c r="C41">
        <v>12</v>
      </c>
      <c r="D41">
        <v>10</v>
      </c>
      <c r="F41" s="139">
        <v>44327</v>
      </c>
      <c r="H41" t="s">
        <v>1745</v>
      </c>
    </row>
    <row r="42" spans="1:8">
      <c r="A42">
        <v>2020</v>
      </c>
      <c r="B42" t="s">
        <v>108</v>
      </c>
      <c r="C42">
        <v>13</v>
      </c>
      <c r="D42">
        <v>15</v>
      </c>
      <c r="F42" s="139">
        <v>44329</v>
      </c>
      <c r="H42" t="s">
        <v>1745</v>
      </c>
    </row>
    <row r="43" spans="1:8">
      <c r="A43">
        <v>2020</v>
      </c>
      <c r="B43" t="s">
        <v>108</v>
      </c>
      <c r="C43">
        <v>14</v>
      </c>
      <c r="D43">
        <v>14</v>
      </c>
      <c r="F43" s="139">
        <v>44327</v>
      </c>
      <c r="H43" t="s">
        <v>1745</v>
      </c>
    </row>
    <row r="44" spans="1:8">
      <c r="A44">
        <v>2020</v>
      </c>
      <c r="B44" t="s">
        <v>108</v>
      </c>
      <c r="C44">
        <v>15</v>
      </c>
      <c r="D44">
        <v>4</v>
      </c>
      <c r="F44" s="139">
        <v>44327</v>
      </c>
      <c r="H44" t="s">
        <v>1745</v>
      </c>
    </row>
    <row r="45" spans="1:8">
      <c r="A45">
        <v>2020</v>
      </c>
      <c r="B45" t="s">
        <v>108</v>
      </c>
      <c r="C45">
        <v>16</v>
      </c>
      <c r="D45">
        <v>3</v>
      </c>
      <c r="F45" s="139">
        <v>44329</v>
      </c>
      <c r="H45" t="s">
        <v>1745</v>
      </c>
    </row>
    <row r="46" spans="1:8">
      <c r="A46">
        <v>2020</v>
      </c>
      <c r="B46" t="s">
        <v>108</v>
      </c>
      <c r="C46">
        <v>17</v>
      </c>
      <c r="D46">
        <v>2</v>
      </c>
      <c r="F46" s="139">
        <v>44329</v>
      </c>
      <c r="H46" t="s">
        <v>1745</v>
      </c>
    </row>
    <row r="47" spans="1:8">
      <c r="A47">
        <v>2020</v>
      </c>
      <c r="B47" t="s">
        <v>108</v>
      </c>
      <c r="C47">
        <v>18</v>
      </c>
      <c r="D47">
        <v>2</v>
      </c>
      <c r="F47" s="139">
        <v>44329</v>
      </c>
      <c r="H47" t="s">
        <v>1745</v>
      </c>
    </row>
    <row r="48" spans="1:8">
      <c r="A48">
        <v>2020</v>
      </c>
      <c r="B48" t="s">
        <v>108</v>
      </c>
      <c r="C48">
        <v>19</v>
      </c>
      <c r="D48">
        <v>1</v>
      </c>
      <c r="F48" s="139">
        <v>44329</v>
      </c>
      <c r="H48" t="s">
        <v>1745</v>
      </c>
    </row>
    <row r="49" spans="1:44">
      <c r="A49">
        <v>2020</v>
      </c>
      <c r="B49" t="s">
        <v>108</v>
      </c>
      <c r="C49">
        <v>20</v>
      </c>
      <c r="D49">
        <v>2</v>
      </c>
      <c r="F49" s="139">
        <v>44329</v>
      </c>
      <c r="H49" t="s">
        <v>1745</v>
      </c>
    </row>
    <row r="50" spans="1:44">
      <c r="A50">
        <v>2020</v>
      </c>
      <c r="B50" t="s">
        <v>108</v>
      </c>
      <c r="C50">
        <v>21</v>
      </c>
      <c r="D50">
        <v>10</v>
      </c>
      <c r="F50" s="139">
        <v>44329</v>
      </c>
      <c r="H50" t="s">
        <v>1745</v>
      </c>
    </row>
    <row r="51" spans="1:44">
      <c r="A51" s="52" t="s">
        <v>1735</v>
      </c>
    </row>
    <row r="53" spans="1:44" s="98" customFormat="1">
      <c r="A53" s="103" t="s">
        <v>166</v>
      </c>
      <c r="B53" s="117" t="s">
        <v>1719</v>
      </c>
      <c r="C53" s="116"/>
      <c r="E53" s="115"/>
      <c r="F53" s="114"/>
      <c r="G53" s="103"/>
      <c r="H53" s="113"/>
      <c r="I53" s="102" t="s">
        <v>152</v>
      </c>
      <c r="J53" s="99"/>
      <c r="K53" s="99"/>
      <c r="L53" s="99"/>
      <c r="M53" s="112"/>
      <c r="N53" s="112"/>
      <c r="O53" s="112"/>
      <c r="P53" s="112"/>
      <c r="Q53" s="111"/>
      <c r="R53" s="99"/>
      <c r="S53" s="99"/>
      <c r="T53" s="110"/>
      <c r="U53" s="110"/>
      <c r="V53" s="109"/>
      <c r="W53" s="108"/>
      <c r="X53" s="107"/>
      <c r="Y53" s="106"/>
      <c r="Z53" s="99"/>
      <c r="AA53" s="99"/>
      <c r="AB53" s="105"/>
      <c r="AC53" s="105"/>
      <c r="AD53" s="104"/>
      <c r="AE53" s="104"/>
      <c r="AG53" s="104"/>
      <c r="AH53" s="103"/>
      <c r="AJ53" s="102"/>
      <c r="AL53" s="99"/>
      <c r="AM53" s="101"/>
      <c r="AN53" s="100"/>
      <c r="AO53" s="99"/>
      <c r="AP53" s="99"/>
      <c r="AQ53" s="99"/>
      <c r="AR53" s="99"/>
    </row>
    <row r="54" spans="1:44">
      <c r="A54">
        <v>2020</v>
      </c>
      <c r="B54" t="s">
        <v>109</v>
      </c>
      <c r="C54" t="s">
        <v>1718</v>
      </c>
      <c r="D54">
        <v>1</v>
      </c>
      <c r="F54" s="139">
        <v>44330</v>
      </c>
      <c r="H54" t="s">
        <v>1745</v>
      </c>
    </row>
    <row r="55" spans="1:44">
      <c r="A55">
        <v>2020</v>
      </c>
      <c r="B55" t="s">
        <v>109</v>
      </c>
      <c r="C55">
        <v>2</v>
      </c>
      <c r="D55">
        <v>1</v>
      </c>
      <c r="F55" s="139">
        <v>44330</v>
      </c>
      <c r="H55" t="s">
        <v>1745</v>
      </c>
    </row>
    <row r="56" spans="1:44">
      <c r="A56">
        <v>2020</v>
      </c>
      <c r="B56" t="s">
        <v>109</v>
      </c>
      <c r="C56">
        <v>3</v>
      </c>
      <c r="D56">
        <v>1</v>
      </c>
      <c r="F56" s="139">
        <v>44330</v>
      </c>
      <c r="H56" t="s">
        <v>1745</v>
      </c>
    </row>
    <row r="57" spans="1:44">
      <c r="A57">
        <v>2020</v>
      </c>
      <c r="B57" t="s">
        <v>109</v>
      </c>
      <c r="C57">
        <v>4</v>
      </c>
      <c r="D57">
        <v>2</v>
      </c>
      <c r="F57" s="139">
        <v>44330</v>
      </c>
      <c r="H57" t="s">
        <v>1747</v>
      </c>
    </row>
    <row r="58" spans="1:44">
      <c r="A58">
        <v>2020</v>
      </c>
      <c r="B58" t="s">
        <v>109</v>
      </c>
      <c r="C58">
        <v>5</v>
      </c>
      <c r="D58">
        <v>2</v>
      </c>
      <c r="F58" s="139">
        <v>44330</v>
      </c>
      <c r="H58" t="s">
        <v>1747</v>
      </c>
    </row>
    <row r="59" spans="1:44">
      <c r="A59">
        <v>2020</v>
      </c>
      <c r="B59" t="s">
        <v>109</v>
      </c>
      <c r="C59">
        <v>6</v>
      </c>
      <c r="D59">
        <v>2</v>
      </c>
      <c r="F59" s="139">
        <v>44330</v>
      </c>
      <c r="H59" t="s">
        <v>1747</v>
      </c>
    </row>
    <row r="60" spans="1:44">
      <c r="A60">
        <v>2020</v>
      </c>
      <c r="B60" t="s">
        <v>109</v>
      </c>
      <c r="C60">
        <v>7</v>
      </c>
      <c r="D60">
        <v>2</v>
      </c>
      <c r="F60" s="139">
        <v>44330</v>
      </c>
      <c r="H60" t="s">
        <v>1747</v>
      </c>
    </row>
    <row r="61" spans="1:44">
      <c r="A61">
        <v>2020</v>
      </c>
      <c r="B61" t="s">
        <v>109</v>
      </c>
      <c r="C61">
        <v>8</v>
      </c>
      <c r="D61">
        <v>2</v>
      </c>
      <c r="F61" s="139">
        <v>44333</v>
      </c>
      <c r="H61" t="s">
        <v>1747</v>
      </c>
    </row>
    <row r="62" spans="1:44">
      <c r="A62">
        <v>2020</v>
      </c>
      <c r="B62" t="s">
        <v>109</v>
      </c>
      <c r="C62">
        <v>9</v>
      </c>
      <c r="D62">
        <v>3</v>
      </c>
      <c r="F62" s="139">
        <v>44333</v>
      </c>
      <c r="H62" t="s">
        <v>1747</v>
      </c>
    </row>
    <row r="63" spans="1:44">
      <c r="A63">
        <v>2020</v>
      </c>
      <c r="B63" t="s">
        <v>109</v>
      </c>
      <c r="C63">
        <v>10</v>
      </c>
      <c r="D63">
        <v>3</v>
      </c>
      <c r="F63" s="139">
        <v>44333</v>
      </c>
      <c r="H63" t="s">
        <v>1747</v>
      </c>
    </row>
    <row r="64" spans="1:44">
      <c r="A64">
        <v>2020</v>
      </c>
      <c r="B64" t="s">
        <v>109</v>
      </c>
      <c r="C64">
        <v>11</v>
      </c>
      <c r="D64">
        <v>10</v>
      </c>
      <c r="F64" s="139">
        <v>44333</v>
      </c>
      <c r="H64" t="s">
        <v>1747</v>
      </c>
    </row>
    <row r="65" spans="1:8">
      <c r="A65">
        <v>2020</v>
      </c>
      <c r="B65" t="s">
        <v>109</v>
      </c>
      <c r="C65">
        <v>12</v>
      </c>
      <c r="D65">
        <v>15</v>
      </c>
      <c r="F65" s="139">
        <v>44333</v>
      </c>
      <c r="H65" t="s">
        <v>1747</v>
      </c>
    </row>
    <row r="66" spans="1:8">
      <c r="A66">
        <v>2020</v>
      </c>
      <c r="B66" t="s">
        <v>109</v>
      </c>
      <c r="C66">
        <v>13</v>
      </c>
      <c r="D66">
        <v>10</v>
      </c>
      <c r="F66" s="139">
        <v>44333</v>
      </c>
      <c r="H66" t="s">
        <v>1747</v>
      </c>
    </row>
    <row r="67" spans="1:8">
      <c r="A67">
        <v>2020</v>
      </c>
      <c r="B67" t="s">
        <v>109</v>
      </c>
      <c r="C67">
        <v>14</v>
      </c>
      <c r="D67">
        <v>10</v>
      </c>
      <c r="F67" s="139">
        <v>44333</v>
      </c>
      <c r="H67" t="s">
        <v>1747</v>
      </c>
    </row>
    <row r="68" spans="1:8">
      <c r="A68">
        <v>2020</v>
      </c>
      <c r="B68" t="s">
        <v>109</v>
      </c>
      <c r="C68">
        <v>15</v>
      </c>
      <c r="D68">
        <v>12</v>
      </c>
      <c r="F68" s="139">
        <v>44333</v>
      </c>
      <c r="H68" t="s">
        <v>1747</v>
      </c>
    </row>
    <row r="69" spans="1:8">
      <c r="A69">
        <v>2020</v>
      </c>
      <c r="B69" t="s">
        <v>109</v>
      </c>
      <c r="C69">
        <v>16</v>
      </c>
      <c r="D69">
        <v>7</v>
      </c>
      <c r="F69" s="139">
        <v>44333</v>
      </c>
      <c r="H69" t="s">
        <v>1747</v>
      </c>
    </row>
    <row r="70" spans="1:8">
      <c r="A70">
        <v>2020</v>
      </c>
      <c r="B70" t="s">
        <v>109</v>
      </c>
      <c r="C70">
        <v>17</v>
      </c>
      <c r="D70">
        <v>4</v>
      </c>
      <c r="F70" s="139">
        <v>44333</v>
      </c>
      <c r="H70" t="s">
        <v>1747</v>
      </c>
    </row>
    <row r="71" spans="1:8">
      <c r="A71">
        <v>2020</v>
      </c>
      <c r="B71" t="s">
        <v>109</v>
      </c>
      <c r="C71">
        <v>18</v>
      </c>
      <c r="D71">
        <v>4</v>
      </c>
      <c r="F71" s="139">
        <v>44333</v>
      </c>
      <c r="H71" t="s">
        <v>1747</v>
      </c>
    </row>
    <row r="72" spans="1:8">
      <c r="A72">
        <v>2020</v>
      </c>
      <c r="B72" t="s">
        <v>109</v>
      </c>
      <c r="C72">
        <v>19</v>
      </c>
      <c r="D72">
        <v>2</v>
      </c>
      <c r="F72" s="139">
        <v>44333</v>
      </c>
      <c r="H72" t="s">
        <v>1747</v>
      </c>
    </row>
    <row r="73" spans="1:8">
      <c r="A73">
        <v>2020</v>
      </c>
      <c r="B73" t="s">
        <v>109</v>
      </c>
      <c r="C73">
        <v>20</v>
      </c>
      <c r="D73">
        <v>3</v>
      </c>
      <c r="F73" s="139">
        <v>44333</v>
      </c>
      <c r="H73" t="s">
        <v>1747</v>
      </c>
    </row>
    <row r="74" spans="1:8">
      <c r="A74">
        <v>2020</v>
      </c>
      <c r="B74" t="s">
        <v>109</v>
      </c>
      <c r="C74">
        <v>21</v>
      </c>
      <c r="D74">
        <v>3</v>
      </c>
      <c r="F74" s="139">
        <v>44333</v>
      </c>
      <c r="H74" t="s">
        <v>1747</v>
      </c>
    </row>
    <row r="75" spans="1:8">
      <c r="A75" s="52" t="s">
        <v>1735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26BC2-95C4-4328-A21D-20D789332170}">
  <dimension ref="A1:AC65"/>
  <sheetViews>
    <sheetView topLeftCell="B1" zoomScale="60" zoomScaleNormal="60" workbookViewId="0">
      <selection activeCell="O57" sqref="O57"/>
    </sheetView>
  </sheetViews>
  <sheetFormatPr defaultRowHeight="15"/>
  <cols>
    <col min="6" max="6" width="9.7109375" bestFit="1" customWidth="1"/>
    <col min="13" max="13" width="9.7109375" bestFit="1" customWidth="1"/>
    <col min="20" max="20" width="39.85546875" bestFit="1" customWidth="1"/>
    <col min="22" max="22" width="12.140625" bestFit="1" customWidth="1"/>
  </cols>
  <sheetData>
    <row r="1" spans="1:28" ht="15.75">
      <c r="A1" s="129" t="s">
        <v>165</v>
      </c>
      <c r="B1" s="129" t="s">
        <v>164</v>
      </c>
      <c r="C1" s="129" t="s">
        <v>163</v>
      </c>
      <c r="D1" s="130" t="s">
        <v>1720</v>
      </c>
      <c r="E1" s="130" t="s">
        <v>1721</v>
      </c>
      <c r="F1" s="130" t="s">
        <v>1722</v>
      </c>
      <c r="G1" s="131" t="s">
        <v>1720</v>
      </c>
      <c r="H1" s="132" t="s">
        <v>1723</v>
      </c>
      <c r="I1" s="131" t="s">
        <v>1720</v>
      </c>
      <c r="J1" s="135" t="s">
        <v>1799</v>
      </c>
      <c r="K1" s="133" t="s">
        <v>1724</v>
      </c>
      <c r="L1" s="132" t="s">
        <v>1723</v>
      </c>
      <c r="M1" s="134" t="s">
        <v>1724</v>
      </c>
      <c r="N1" s="130" t="s">
        <v>1724</v>
      </c>
      <c r="O1" s="132" t="s">
        <v>1723</v>
      </c>
      <c r="P1" s="131" t="s">
        <v>1724</v>
      </c>
      <c r="Q1" s="135" t="s">
        <v>1799</v>
      </c>
      <c r="R1" s="132" t="s">
        <v>1725</v>
      </c>
      <c r="S1" s="129" t="s">
        <v>1726</v>
      </c>
      <c r="T1" s="131" t="s">
        <v>1727</v>
      </c>
      <c r="U1" s="131" t="s">
        <v>1728</v>
      </c>
      <c r="V1" s="131"/>
      <c r="W1" s="131"/>
      <c r="X1" s="131"/>
      <c r="Y1" s="131"/>
      <c r="Z1" s="131"/>
      <c r="AA1" s="131"/>
      <c r="AB1" s="131"/>
    </row>
    <row r="2" spans="1:28" ht="15.75">
      <c r="A2" s="129"/>
      <c r="B2" s="129" t="s">
        <v>1729</v>
      </c>
      <c r="C2" s="129"/>
      <c r="D2" s="130"/>
      <c r="E2" s="136" t="s">
        <v>1730</v>
      </c>
      <c r="F2" s="136"/>
      <c r="G2" s="131" t="s">
        <v>1731</v>
      </c>
      <c r="H2" s="136" t="s">
        <v>1730</v>
      </c>
      <c r="I2" s="131" t="s">
        <v>1733</v>
      </c>
      <c r="J2" s="135" t="s">
        <v>1733</v>
      </c>
      <c r="K2" s="137"/>
      <c r="L2" s="136" t="s">
        <v>1730</v>
      </c>
      <c r="M2" s="135" t="s">
        <v>1732</v>
      </c>
      <c r="N2" s="130" t="s">
        <v>1731</v>
      </c>
      <c r="O2" s="136" t="s">
        <v>1730</v>
      </c>
      <c r="P2" s="131" t="s">
        <v>1733</v>
      </c>
      <c r="Q2" s="135" t="s">
        <v>1733</v>
      </c>
      <c r="R2" s="132"/>
      <c r="S2" s="129"/>
      <c r="T2" s="129"/>
      <c r="U2" s="129" t="s">
        <v>1734</v>
      </c>
      <c r="V2" s="129"/>
      <c r="W2" s="131"/>
      <c r="X2" s="131"/>
      <c r="Y2" s="131"/>
      <c r="Z2" s="138"/>
      <c r="AA2" s="138"/>
      <c r="AB2" s="131"/>
    </row>
    <row r="3" spans="1:28" ht="15.75">
      <c r="A3" s="31">
        <v>2020</v>
      </c>
      <c r="B3" s="31">
        <v>1000</v>
      </c>
      <c r="C3" s="31">
        <v>1</v>
      </c>
      <c r="D3" s="31">
        <v>39.840000000000003</v>
      </c>
      <c r="E3" s="31">
        <v>25.2</v>
      </c>
      <c r="F3" s="139">
        <v>44354</v>
      </c>
      <c r="K3">
        <v>8.42</v>
      </c>
      <c r="L3">
        <v>25.4</v>
      </c>
      <c r="M3" s="139">
        <v>44354</v>
      </c>
      <c r="R3" t="s">
        <v>40</v>
      </c>
      <c r="T3" s="31" t="s">
        <v>1817</v>
      </c>
      <c r="U3" s="200"/>
      <c r="V3" s="201">
        <v>44354</v>
      </c>
      <c r="W3" s="200"/>
      <c r="X3" s="200"/>
      <c r="Y3" s="31"/>
      <c r="Z3" s="31"/>
      <c r="AA3" s="31"/>
      <c r="AB3" s="31"/>
    </row>
    <row r="4" spans="1:28" ht="15.75">
      <c r="A4" s="31">
        <v>2020</v>
      </c>
      <c r="B4" s="31">
        <v>1000</v>
      </c>
      <c r="C4" s="200">
        <v>2</v>
      </c>
      <c r="D4">
        <v>40.11</v>
      </c>
      <c r="E4">
        <v>25.5</v>
      </c>
      <c r="F4" s="139">
        <v>44354</v>
      </c>
      <c r="K4">
        <v>8.48</v>
      </c>
      <c r="L4">
        <v>25.7</v>
      </c>
      <c r="M4" s="139">
        <v>44354</v>
      </c>
      <c r="R4" t="s">
        <v>40</v>
      </c>
      <c r="T4" s="187" t="s">
        <v>1818</v>
      </c>
      <c r="U4" s="200"/>
      <c r="V4" s="200"/>
      <c r="W4" s="200"/>
      <c r="X4" s="200"/>
      <c r="Y4" s="200"/>
      <c r="Z4" s="200"/>
      <c r="AA4" s="200"/>
      <c r="AB4" s="200"/>
    </row>
    <row r="5" spans="1:28" ht="15.75">
      <c r="A5" s="31">
        <v>2020</v>
      </c>
      <c r="B5" s="31">
        <v>1000</v>
      </c>
      <c r="C5" s="200">
        <v>3</v>
      </c>
      <c r="D5">
        <v>40.409999999999997</v>
      </c>
      <c r="E5">
        <v>25.6</v>
      </c>
      <c r="F5" s="139">
        <v>44354</v>
      </c>
      <c r="G5">
        <v>40.369999999999997</v>
      </c>
      <c r="H5">
        <v>25.6</v>
      </c>
      <c r="I5">
        <f>D5-G5</f>
        <v>3.9999999999999147E-2</v>
      </c>
      <c r="J5" s="216">
        <f>(I5/AVERAGE(G5,D5))*100</f>
        <v>9.9034414459022391E-2</v>
      </c>
      <c r="K5">
        <v>8.4499999999999993</v>
      </c>
      <c r="L5">
        <v>25.7</v>
      </c>
      <c r="M5" s="139">
        <v>44354</v>
      </c>
      <c r="N5">
        <v>8.4600000000000009</v>
      </c>
      <c r="O5">
        <v>25.6</v>
      </c>
      <c r="P5">
        <f>K5-N5</f>
        <v>-1.0000000000001563E-2</v>
      </c>
      <c r="Q5" s="216">
        <f>(P5/AVERAGE(N5,K5))*100</f>
        <v>-0.11827321111770032</v>
      </c>
      <c r="R5" t="s">
        <v>40</v>
      </c>
      <c r="T5" s="31" t="s">
        <v>1829</v>
      </c>
      <c r="U5" s="31" t="s">
        <v>1819</v>
      </c>
      <c r="V5" s="200"/>
      <c r="W5" s="31" t="s">
        <v>1820</v>
      </c>
      <c r="X5" s="200"/>
      <c r="Y5" s="200" t="s">
        <v>1821</v>
      </c>
      <c r="Z5" s="200" t="s">
        <v>1822</v>
      </c>
      <c r="AA5" s="200"/>
      <c r="AB5" s="200"/>
    </row>
    <row r="6" spans="1:28" ht="15.75">
      <c r="A6" s="31">
        <v>2020</v>
      </c>
      <c r="B6" s="31">
        <v>1000</v>
      </c>
      <c r="C6" s="200">
        <v>4</v>
      </c>
      <c r="D6">
        <v>40.06</v>
      </c>
      <c r="E6">
        <v>25.6</v>
      </c>
      <c r="F6" s="139">
        <v>44354</v>
      </c>
      <c r="J6" s="216"/>
      <c r="K6">
        <v>8.34</v>
      </c>
      <c r="L6">
        <v>25.7</v>
      </c>
      <c r="M6" s="139">
        <v>44354</v>
      </c>
      <c r="Q6" s="216"/>
      <c r="R6" t="s">
        <v>40</v>
      </c>
      <c r="T6" s="31"/>
      <c r="U6" s="202"/>
      <c r="V6" s="203"/>
      <c r="W6" s="200"/>
      <c r="X6" s="200"/>
      <c r="Y6" s="202"/>
      <c r="Z6" s="200">
        <f>_xlfn.STDEV.P(Y7:Y9,Y12:Y15)</f>
        <v>1.1786694083268523E-2</v>
      </c>
      <c r="AA6" s="200">
        <f>Z6/SQRT(COUNT(Y7:Y9,Y12:Y14))</f>
        <v>4.8118977097149039E-3</v>
      </c>
      <c r="AB6" s="204">
        <f>AA6</f>
        <v>4.8118977097149039E-3</v>
      </c>
    </row>
    <row r="7" spans="1:28" ht="15.75">
      <c r="A7" s="31">
        <v>2020</v>
      </c>
      <c r="B7" s="31">
        <v>1000</v>
      </c>
      <c r="C7" s="200">
        <v>5</v>
      </c>
      <c r="D7">
        <v>38.090000000000003</v>
      </c>
      <c r="E7">
        <v>25.6</v>
      </c>
      <c r="F7" s="139">
        <v>44354</v>
      </c>
      <c r="J7" s="216"/>
      <c r="K7">
        <v>8.4700000000000006</v>
      </c>
      <c r="L7">
        <v>25.6</v>
      </c>
      <c r="M7" s="139">
        <v>44354</v>
      </c>
      <c r="Q7" s="216"/>
      <c r="R7" t="s">
        <v>40</v>
      </c>
      <c r="T7" s="31" t="s">
        <v>1823</v>
      </c>
      <c r="U7" s="200">
        <v>50.3</v>
      </c>
      <c r="V7" s="203" t="s">
        <v>1824</v>
      </c>
      <c r="W7" s="31">
        <v>24.3</v>
      </c>
      <c r="X7" s="200"/>
      <c r="Y7" s="200">
        <f>(50-U7)/50</f>
        <v>-5.9999999999999429E-3</v>
      </c>
      <c r="Z7" s="200"/>
      <c r="AA7" s="200"/>
      <c r="AB7" s="200"/>
    </row>
    <row r="8" spans="1:28" ht="15.75">
      <c r="A8" s="31">
        <v>2020</v>
      </c>
      <c r="B8" s="31">
        <v>1000</v>
      </c>
      <c r="C8" s="31">
        <v>6</v>
      </c>
      <c r="D8" s="31">
        <v>37.96</v>
      </c>
      <c r="E8">
        <v>25.6</v>
      </c>
      <c r="F8" s="139">
        <v>44354</v>
      </c>
      <c r="J8" s="216"/>
      <c r="K8">
        <v>8.4600000000000009</v>
      </c>
      <c r="L8">
        <v>25.6</v>
      </c>
      <c r="M8" s="139">
        <v>44354</v>
      </c>
      <c r="Q8" s="216"/>
      <c r="R8" t="s">
        <v>40</v>
      </c>
      <c r="T8" s="31" t="s">
        <v>1825</v>
      </c>
      <c r="U8" s="200">
        <v>53</v>
      </c>
      <c r="V8" s="203" t="s">
        <v>1824</v>
      </c>
      <c r="W8" s="200">
        <v>24.8</v>
      </c>
      <c r="X8" s="200"/>
      <c r="Y8" s="205">
        <f>(53-U8)/53</f>
        <v>0</v>
      </c>
      <c r="Z8" s="200"/>
      <c r="AA8" s="200"/>
      <c r="AB8" s="200"/>
    </row>
    <row r="9" spans="1:28" ht="15.75">
      <c r="A9" s="31">
        <v>2020</v>
      </c>
      <c r="B9" s="31">
        <v>1000</v>
      </c>
      <c r="C9" s="200">
        <v>7</v>
      </c>
      <c r="D9">
        <v>39.159999999999997</v>
      </c>
      <c r="E9">
        <v>25.6</v>
      </c>
      <c r="F9" s="139">
        <v>44354</v>
      </c>
      <c r="J9" s="216"/>
      <c r="K9">
        <v>8.52</v>
      </c>
      <c r="L9">
        <v>25.5</v>
      </c>
      <c r="M9" s="139">
        <v>44354</v>
      </c>
      <c r="Q9" s="216"/>
      <c r="R9" t="s">
        <v>40</v>
      </c>
      <c r="T9" s="200" t="s">
        <v>1826</v>
      </c>
      <c r="U9" s="200">
        <v>12.97</v>
      </c>
      <c r="V9" s="203" t="s">
        <v>1824</v>
      </c>
      <c r="W9" s="200">
        <v>25</v>
      </c>
      <c r="X9" s="200"/>
      <c r="Y9" s="205">
        <f>(12.8-U9)/12.8</f>
        <v>-1.3281249999999994E-2</v>
      </c>
      <c r="Z9" s="200"/>
      <c r="AA9" s="200"/>
      <c r="AB9" s="200"/>
    </row>
    <row r="10" spans="1:28" ht="15.75">
      <c r="A10" s="31">
        <v>2020</v>
      </c>
      <c r="B10" s="31">
        <v>1000</v>
      </c>
      <c r="C10" s="200">
        <v>8</v>
      </c>
      <c r="D10">
        <v>39.83</v>
      </c>
      <c r="E10">
        <v>25.6</v>
      </c>
      <c r="F10" s="139">
        <v>44354</v>
      </c>
      <c r="J10" s="216"/>
      <c r="K10">
        <v>8.4499999999999993</v>
      </c>
      <c r="L10">
        <v>25.5</v>
      </c>
      <c r="M10" s="139">
        <v>44354</v>
      </c>
      <c r="Q10" s="216"/>
      <c r="R10" t="s">
        <v>40</v>
      </c>
      <c r="X10" s="200"/>
      <c r="Y10" s="200"/>
      <c r="Z10" s="200"/>
      <c r="AA10" s="200"/>
      <c r="AB10" s="200"/>
    </row>
    <row r="11" spans="1:28" ht="15.75">
      <c r="A11" s="31">
        <v>2020</v>
      </c>
      <c r="B11" s="31">
        <v>1000</v>
      </c>
      <c r="C11" s="200">
        <v>9</v>
      </c>
      <c r="D11">
        <v>40.4</v>
      </c>
      <c r="E11">
        <v>25.6</v>
      </c>
      <c r="F11" s="139">
        <v>44354</v>
      </c>
      <c r="J11" s="216"/>
      <c r="K11">
        <v>8.51</v>
      </c>
      <c r="L11">
        <v>25.5</v>
      </c>
      <c r="M11" s="139">
        <v>44354</v>
      </c>
      <c r="Q11" s="216"/>
      <c r="R11" t="s">
        <v>40</v>
      </c>
      <c r="T11" s="31" t="s">
        <v>1827</v>
      </c>
      <c r="U11" s="31" t="s">
        <v>1819</v>
      </c>
      <c r="V11" s="200"/>
      <c r="W11" s="31" t="s">
        <v>1820</v>
      </c>
      <c r="X11" s="200"/>
      <c r="Y11" s="206"/>
      <c r="Z11" s="200"/>
      <c r="AA11" s="200"/>
      <c r="AB11" s="200"/>
    </row>
    <row r="12" spans="1:28" ht="15.75">
      <c r="A12" s="31">
        <v>2020</v>
      </c>
      <c r="B12" s="31">
        <v>1000</v>
      </c>
      <c r="C12" s="200">
        <v>10</v>
      </c>
      <c r="D12">
        <v>38.47</v>
      </c>
      <c r="E12">
        <v>25.4</v>
      </c>
      <c r="F12" s="139">
        <v>44354</v>
      </c>
      <c r="J12" s="216"/>
      <c r="K12">
        <v>8.34</v>
      </c>
      <c r="L12">
        <v>25.4</v>
      </c>
      <c r="M12" s="139">
        <v>44354</v>
      </c>
      <c r="Q12" s="216"/>
      <c r="R12" t="s">
        <v>40</v>
      </c>
      <c r="T12" s="31" t="s">
        <v>1823</v>
      </c>
      <c r="U12" s="200">
        <v>50.2</v>
      </c>
      <c r="V12" s="203" t="s">
        <v>1824</v>
      </c>
      <c r="W12" s="200">
        <v>24.4</v>
      </c>
      <c r="X12" s="200"/>
      <c r="Y12" s="205">
        <f>(50-U12)/50</f>
        <v>-4.0000000000000565E-3</v>
      </c>
      <c r="Z12" s="200"/>
      <c r="AA12" s="200"/>
      <c r="AB12" s="200"/>
    </row>
    <row r="13" spans="1:28" ht="15.75">
      <c r="A13" s="31">
        <v>2020</v>
      </c>
      <c r="B13" s="31">
        <v>1000</v>
      </c>
      <c r="C13" s="31">
        <v>11</v>
      </c>
      <c r="D13" s="31">
        <v>39.770000000000003</v>
      </c>
      <c r="E13" s="31">
        <v>25.6</v>
      </c>
      <c r="F13" s="139">
        <v>44354</v>
      </c>
      <c r="J13" s="216"/>
      <c r="K13">
        <v>8.42</v>
      </c>
      <c r="L13">
        <v>25.5</v>
      </c>
      <c r="M13" s="139">
        <v>44354</v>
      </c>
      <c r="Q13" s="216"/>
      <c r="R13" t="s">
        <v>40</v>
      </c>
      <c r="T13" s="31" t="s">
        <v>1825</v>
      </c>
      <c r="U13" s="200">
        <v>53.2</v>
      </c>
      <c r="V13" s="203" t="s">
        <v>1824</v>
      </c>
      <c r="W13" s="200">
        <v>23.9</v>
      </c>
      <c r="X13" s="200"/>
      <c r="Y13" s="205">
        <f>(53-U13)/53</f>
        <v>-3.7735849056604312E-3</v>
      </c>
      <c r="Z13" s="200"/>
      <c r="AA13" s="200"/>
      <c r="AB13" s="200"/>
    </row>
    <row r="14" spans="1:28" ht="15.75">
      <c r="A14" s="31">
        <v>2020</v>
      </c>
      <c r="B14" s="31">
        <v>1000</v>
      </c>
      <c r="C14" s="200">
        <v>12</v>
      </c>
      <c r="D14">
        <v>39.11</v>
      </c>
      <c r="E14">
        <v>25.4</v>
      </c>
      <c r="F14" s="139">
        <v>44354</v>
      </c>
      <c r="G14">
        <v>39.119999999999997</v>
      </c>
      <c r="H14">
        <v>25.4</v>
      </c>
      <c r="I14">
        <f>D14-G14</f>
        <v>-9.9999999999980105E-3</v>
      </c>
      <c r="J14" s="216">
        <f>(I14/AVERAGE(G14,D14))*100</f>
        <v>-2.5565639780130416E-2</v>
      </c>
      <c r="K14">
        <v>8.42</v>
      </c>
      <c r="L14">
        <v>25.8</v>
      </c>
      <c r="M14" s="139">
        <v>44354</v>
      </c>
      <c r="N14">
        <v>8.41</v>
      </c>
      <c r="O14">
        <v>25.5</v>
      </c>
      <c r="P14">
        <f>K14-N14</f>
        <v>9.9999999999997868E-3</v>
      </c>
      <c r="Q14" s="216">
        <f>(P14/AVERAGE(N14,K14))*100</f>
        <v>0.11883541295305748</v>
      </c>
      <c r="R14" t="s">
        <v>40</v>
      </c>
      <c r="T14" s="200" t="s">
        <v>1826</v>
      </c>
      <c r="U14" s="207">
        <v>13.25</v>
      </c>
      <c r="V14" s="203" t="s">
        <v>1824</v>
      </c>
      <c r="W14" s="207">
        <v>24.4</v>
      </c>
      <c r="X14" s="207"/>
      <c r="Y14" s="205">
        <f>(12.8-U14)/12.8</f>
        <v>-3.5156249999999944E-2</v>
      </c>
      <c r="Z14" s="200"/>
      <c r="AA14" s="200"/>
      <c r="AB14" s="200"/>
    </row>
    <row r="15" spans="1:28" ht="15.75">
      <c r="A15" s="31">
        <v>2020</v>
      </c>
      <c r="B15" s="31">
        <v>1000</v>
      </c>
      <c r="C15" s="200">
        <v>13</v>
      </c>
      <c r="D15">
        <v>39.880000000000003</v>
      </c>
      <c r="E15">
        <v>25.4</v>
      </c>
      <c r="F15" s="139">
        <v>44354</v>
      </c>
      <c r="K15">
        <v>8.3699999999999992</v>
      </c>
      <c r="L15">
        <v>25.6</v>
      </c>
      <c r="M15" s="139">
        <v>44354</v>
      </c>
      <c r="R15" t="s">
        <v>40</v>
      </c>
      <c r="T15" s="200"/>
      <c r="U15" s="200"/>
      <c r="V15" s="203"/>
      <c r="W15" s="200"/>
      <c r="X15" s="200"/>
      <c r="Y15" s="205"/>
      <c r="Z15" s="200"/>
      <c r="AA15" s="200"/>
      <c r="AB15" s="200"/>
    </row>
    <row r="16" spans="1:28" ht="15.75">
      <c r="A16" s="31">
        <v>2020</v>
      </c>
      <c r="B16" s="31">
        <v>1000</v>
      </c>
      <c r="C16" s="200">
        <v>14</v>
      </c>
      <c r="D16">
        <v>38.74</v>
      </c>
      <c r="E16">
        <v>25.4</v>
      </c>
      <c r="F16" s="139">
        <v>44354</v>
      </c>
      <c r="K16">
        <v>8.31</v>
      </c>
      <c r="L16">
        <v>25.5</v>
      </c>
      <c r="M16" s="139">
        <v>44354</v>
      </c>
      <c r="R16" t="s">
        <v>40</v>
      </c>
      <c r="T16" s="200"/>
      <c r="U16" s="200"/>
      <c r="V16" s="200"/>
      <c r="W16" s="200"/>
      <c r="X16" s="200"/>
      <c r="Y16" s="200"/>
      <c r="Z16" s="200"/>
      <c r="AA16" s="200"/>
      <c r="AB16" s="200"/>
    </row>
    <row r="17" spans="1:29" ht="15.75">
      <c r="A17" s="31">
        <v>2020</v>
      </c>
      <c r="B17" s="31">
        <v>1000</v>
      </c>
      <c r="C17" s="200">
        <v>15</v>
      </c>
      <c r="D17">
        <v>37.24</v>
      </c>
      <c r="E17">
        <v>25.5</v>
      </c>
      <c r="F17" s="139">
        <v>44354</v>
      </c>
      <c r="K17">
        <v>8.36</v>
      </c>
      <c r="L17">
        <v>25.5</v>
      </c>
      <c r="M17" s="139">
        <v>44354</v>
      </c>
      <c r="R17" t="s">
        <v>40</v>
      </c>
      <c r="T17" s="31" t="s">
        <v>1724</v>
      </c>
      <c r="U17" s="200"/>
      <c r="V17" s="200"/>
      <c r="W17" s="200"/>
      <c r="X17" s="200"/>
      <c r="Y17" s="200"/>
      <c r="Z17" s="200"/>
      <c r="AA17" s="200"/>
      <c r="AB17" s="200"/>
    </row>
    <row r="18" spans="1:29" ht="15.75">
      <c r="A18" s="31">
        <v>2020</v>
      </c>
      <c r="B18" s="31">
        <v>1000</v>
      </c>
      <c r="C18" s="31">
        <v>16</v>
      </c>
      <c r="D18" s="31">
        <v>39.270000000000003</v>
      </c>
      <c r="E18">
        <v>25.5</v>
      </c>
      <c r="F18" s="139">
        <v>44354</v>
      </c>
      <c r="K18">
        <v>8.5299999999999994</v>
      </c>
      <c r="L18">
        <v>25.5</v>
      </c>
      <c r="M18" s="139">
        <v>44354</v>
      </c>
      <c r="R18" t="s">
        <v>40</v>
      </c>
      <c r="T18" s="197" t="s">
        <v>1830</v>
      </c>
      <c r="U18" s="200"/>
      <c r="V18" s="200"/>
      <c r="W18" s="200"/>
      <c r="X18" s="200"/>
      <c r="Y18" s="200"/>
      <c r="Z18" s="200"/>
      <c r="AA18" s="200"/>
      <c r="AB18" s="200"/>
    </row>
    <row r="19" spans="1:29" ht="15.75">
      <c r="A19" s="31">
        <v>2020</v>
      </c>
      <c r="B19" s="31">
        <v>1000</v>
      </c>
      <c r="C19" s="200">
        <v>17</v>
      </c>
      <c r="D19">
        <v>39.75</v>
      </c>
      <c r="E19">
        <v>25.5</v>
      </c>
      <c r="F19" s="139">
        <v>44354</v>
      </c>
      <c r="K19">
        <v>8.26</v>
      </c>
      <c r="L19">
        <v>25.6</v>
      </c>
      <c r="M19" s="139">
        <v>44354</v>
      </c>
      <c r="R19" t="s">
        <v>40</v>
      </c>
      <c r="T19" s="31" t="s">
        <v>1831</v>
      </c>
      <c r="U19" s="31" t="s">
        <v>1819</v>
      </c>
      <c r="V19" s="200"/>
      <c r="W19" s="31" t="s">
        <v>1820</v>
      </c>
      <c r="X19" s="200"/>
      <c r="Y19" s="200" t="s">
        <v>1821</v>
      </c>
      <c r="Z19" s="200" t="s">
        <v>1822</v>
      </c>
      <c r="AA19" s="200"/>
      <c r="AB19" s="200"/>
    </row>
    <row r="20" spans="1:29" ht="15.75">
      <c r="A20" s="31">
        <v>2020</v>
      </c>
      <c r="B20" s="31">
        <v>1000</v>
      </c>
      <c r="C20" s="200">
        <v>18</v>
      </c>
      <c r="D20">
        <v>39.590000000000003</v>
      </c>
      <c r="E20">
        <v>25.6</v>
      </c>
      <c r="F20" s="139">
        <v>44354</v>
      </c>
      <c r="K20">
        <v>8.4499999999999993</v>
      </c>
      <c r="L20">
        <v>25.6</v>
      </c>
      <c r="M20" s="139">
        <v>44354</v>
      </c>
      <c r="R20" t="s">
        <v>40</v>
      </c>
      <c r="T20" s="31" t="s">
        <v>1832</v>
      </c>
      <c r="Y20" s="208"/>
    </row>
    <row r="21" spans="1:29" ht="15.75">
      <c r="A21" s="31">
        <v>2020</v>
      </c>
      <c r="B21" s="31">
        <v>1000</v>
      </c>
      <c r="C21" s="200">
        <v>19</v>
      </c>
      <c r="D21">
        <v>40.21</v>
      </c>
      <c r="E21">
        <v>25.6</v>
      </c>
      <c r="F21" s="139">
        <v>44354</v>
      </c>
      <c r="K21">
        <v>8.5399999999999991</v>
      </c>
      <c r="L21">
        <v>25.5</v>
      </c>
      <c r="M21" s="139">
        <v>44354</v>
      </c>
      <c r="R21" t="s">
        <v>40</v>
      </c>
      <c r="T21" s="31">
        <v>7.01</v>
      </c>
      <c r="U21">
        <v>7.02</v>
      </c>
      <c r="W21">
        <v>25.1</v>
      </c>
      <c r="Y21" s="208">
        <f>(U21-T21)/T21</f>
        <v>1.4265335235377728E-3</v>
      </c>
      <c r="Z21" s="208">
        <f>_xlfn.STDEV.P(Y21:Y29)</f>
        <v>4.1466836867340481E-3</v>
      </c>
      <c r="AA21" s="208">
        <f>Z21/SQRT(2)</f>
        <v>2.9321481543252786E-3</v>
      </c>
      <c r="AB21" s="204">
        <f>AA21</f>
        <v>2.9321481543252786E-3</v>
      </c>
    </row>
    <row r="22" spans="1:29" ht="15.75">
      <c r="A22" s="31">
        <v>2020</v>
      </c>
      <c r="B22" s="31">
        <v>1000</v>
      </c>
      <c r="C22" s="200">
        <v>20</v>
      </c>
      <c r="D22">
        <v>40.159999999999997</v>
      </c>
      <c r="E22">
        <v>25.5</v>
      </c>
      <c r="F22" s="139">
        <v>44354</v>
      </c>
      <c r="K22">
        <v>8.5500000000000007</v>
      </c>
      <c r="L22">
        <v>25.5</v>
      </c>
      <c r="M22" s="139">
        <v>44354</v>
      </c>
      <c r="R22" t="s">
        <v>40</v>
      </c>
      <c r="T22" s="31">
        <v>10.01</v>
      </c>
      <c r="U22">
        <v>10.01</v>
      </c>
      <c r="W22">
        <v>25.3</v>
      </c>
      <c r="Y22" s="208">
        <f t="shared" ref="Y22:Y24" si="0">(U22-T22)/T22</f>
        <v>0</v>
      </c>
    </row>
    <row r="23" spans="1:29" ht="15.75">
      <c r="A23" s="215">
        <v>2020</v>
      </c>
      <c r="B23" s="215">
        <v>1000</v>
      </c>
      <c r="C23" s="215">
        <v>21</v>
      </c>
      <c r="D23" s="217">
        <v>40.25</v>
      </c>
      <c r="E23" s="217">
        <v>25.4</v>
      </c>
      <c r="F23" s="218">
        <v>44354</v>
      </c>
      <c r="G23" s="219"/>
      <c r="H23" s="219"/>
      <c r="I23" s="219"/>
      <c r="J23" s="219"/>
      <c r="K23" s="219">
        <v>8.59</v>
      </c>
      <c r="L23" s="219">
        <v>25.4</v>
      </c>
      <c r="M23" s="218">
        <v>44354</v>
      </c>
      <c r="N23" s="219"/>
      <c r="O23" s="219"/>
      <c r="P23" s="219"/>
      <c r="Q23" s="219"/>
      <c r="R23" s="219" t="s">
        <v>40</v>
      </c>
      <c r="T23" s="31">
        <v>12.45</v>
      </c>
      <c r="U23">
        <v>12.43</v>
      </c>
      <c r="W23">
        <v>25.3</v>
      </c>
      <c r="Y23" s="208">
        <f t="shared" si="0"/>
        <v>-1.6064257028112108E-3</v>
      </c>
    </row>
    <row r="24" spans="1:29" ht="16.5" thickBot="1">
      <c r="A24" s="31">
        <v>2020</v>
      </c>
      <c r="B24" s="31">
        <v>2000</v>
      </c>
      <c r="C24" s="31">
        <v>1</v>
      </c>
      <c r="D24" s="31">
        <v>40.29</v>
      </c>
      <c r="E24" s="31">
        <v>26</v>
      </c>
      <c r="F24" s="139">
        <v>44355</v>
      </c>
      <c r="K24" s="238">
        <v>8.5500000000000007</v>
      </c>
      <c r="L24" s="238">
        <v>26.1</v>
      </c>
      <c r="M24" s="139">
        <v>44355</v>
      </c>
      <c r="R24" t="s">
        <v>40</v>
      </c>
      <c r="T24" s="210">
        <v>9.18</v>
      </c>
      <c r="U24" s="200">
        <v>9.09</v>
      </c>
      <c r="V24" s="203"/>
      <c r="W24" s="200">
        <v>25.3</v>
      </c>
      <c r="X24" s="200"/>
      <c r="Y24" s="208">
        <f t="shared" si="0"/>
        <v>-9.8039215686274352E-3</v>
      </c>
    </row>
    <row r="25" spans="1:29" ht="16.5" thickBot="1">
      <c r="A25" s="31">
        <v>2020</v>
      </c>
      <c r="B25" s="31">
        <v>2000</v>
      </c>
      <c r="C25" s="200">
        <v>2</v>
      </c>
      <c r="D25">
        <v>40.17</v>
      </c>
      <c r="E25">
        <v>26.3</v>
      </c>
      <c r="F25" s="139">
        <v>44355</v>
      </c>
      <c r="K25" s="238">
        <v>8.49</v>
      </c>
      <c r="L25" s="238">
        <v>26.3</v>
      </c>
      <c r="M25" s="139">
        <v>44355</v>
      </c>
      <c r="R25" t="s">
        <v>40</v>
      </c>
      <c r="T25" s="31" t="s">
        <v>1828</v>
      </c>
      <c r="U25" s="31" t="s">
        <v>1819</v>
      </c>
      <c r="V25" s="200"/>
      <c r="W25" s="31" t="s">
        <v>1820</v>
      </c>
      <c r="X25" s="200"/>
      <c r="Y25" s="208"/>
      <c r="Z25" s="208"/>
      <c r="AA25" s="208"/>
      <c r="AB25" s="200"/>
      <c r="AC25" s="214"/>
    </row>
    <row r="26" spans="1:29" ht="15.75">
      <c r="A26" s="31">
        <v>2020</v>
      </c>
      <c r="B26" s="31">
        <v>2000</v>
      </c>
      <c r="C26" s="200">
        <v>3</v>
      </c>
      <c r="D26">
        <v>40.49</v>
      </c>
      <c r="E26">
        <v>26.3</v>
      </c>
      <c r="F26" s="139">
        <v>44355</v>
      </c>
      <c r="G26">
        <v>40.479999999999997</v>
      </c>
      <c r="H26">
        <v>26.2</v>
      </c>
      <c r="I26">
        <f>D26-G26</f>
        <v>1.0000000000005116E-2</v>
      </c>
      <c r="J26" s="216">
        <f>(I26/AVERAGE(G26,D26))*100</f>
        <v>2.4700506360393025E-2</v>
      </c>
      <c r="K26" s="238">
        <v>8.56</v>
      </c>
      <c r="L26" s="238">
        <v>26.2</v>
      </c>
      <c r="M26" s="139">
        <v>44355</v>
      </c>
      <c r="N26" s="238">
        <v>8.58</v>
      </c>
      <c r="O26" s="238">
        <v>26.1</v>
      </c>
      <c r="P26">
        <f>K26-N26</f>
        <v>-1.9999999999999574E-2</v>
      </c>
      <c r="Q26" s="216">
        <f>(P26/AVERAGE(N26,K26))*100</f>
        <v>-0.23337222870477917</v>
      </c>
      <c r="R26" t="s">
        <v>40</v>
      </c>
      <c r="T26" s="31">
        <v>7.01</v>
      </c>
      <c r="U26" s="200">
        <v>7.01</v>
      </c>
      <c r="V26" s="203"/>
      <c r="W26" s="200">
        <v>25.2</v>
      </c>
      <c r="X26" s="200"/>
      <c r="Y26" s="208">
        <f>(U26-T26)/T26</f>
        <v>0</v>
      </c>
      <c r="Z26" s="208"/>
      <c r="AA26" s="208"/>
      <c r="AB26" s="200"/>
    </row>
    <row r="27" spans="1:29" ht="15.75">
      <c r="A27" s="31">
        <v>2020</v>
      </c>
      <c r="B27" s="31">
        <v>2000</v>
      </c>
      <c r="C27" s="200">
        <v>4</v>
      </c>
      <c r="D27">
        <v>40.58</v>
      </c>
      <c r="E27">
        <v>26.2</v>
      </c>
      <c r="F27" s="139">
        <v>44355</v>
      </c>
      <c r="K27" s="238">
        <v>8.5399999999999991</v>
      </c>
      <c r="L27" s="238">
        <v>26.3</v>
      </c>
      <c r="M27" s="139">
        <v>44355</v>
      </c>
      <c r="R27" t="s">
        <v>40</v>
      </c>
      <c r="T27" s="31">
        <v>10.01</v>
      </c>
      <c r="U27" s="200">
        <v>10.039999999999999</v>
      </c>
      <c r="V27" s="203"/>
      <c r="W27" s="200">
        <v>25.4</v>
      </c>
      <c r="X27" s="200"/>
      <c r="Y27" s="208">
        <f t="shared" ref="Y27:Y29" si="1">(U27-T27)/T27</f>
        <v>2.9970029970029332E-3</v>
      </c>
      <c r="Z27" s="208"/>
      <c r="AA27" s="208"/>
      <c r="AB27" s="200"/>
    </row>
    <row r="28" spans="1:29" ht="15.75">
      <c r="A28" s="31">
        <v>2020</v>
      </c>
      <c r="B28" s="31">
        <v>2000</v>
      </c>
      <c r="C28" s="200">
        <v>5</v>
      </c>
      <c r="D28">
        <v>40.1</v>
      </c>
      <c r="E28">
        <v>26.1</v>
      </c>
      <c r="F28" s="139">
        <v>44355</v>
      </c>
      <c r="K28" s="238">
        <v>8.59</v>
      </c>
      <c r="L28" s="238">
        <v>26.2</v>
      </c>
      <c r="M28" s="139">
        <v>44355</v>
      </c>
      <c r="R28" t="s">
        <v>40</v>
      </c>
      <c r="T28" s="31">
        <v>12.45</v>
      </c>
      <c r="U28" s="200">
        <v>12.43</v>
      </c>
      <c r="V28" s="203"/>
      <c r="W28" s="200">
        <v>25.9</v>
      </c>
      <c r="X28" s="207"/>
      <c r="Y28" s="208">
        <f t="shared" si="1"/>
        <v>-1.6064257028112108E-3</v>
      </c>
      <c r="Z28" s="209"/>
      <c r="AA28" s="209"/>
      <c r="AB28" s="207"/>
    </row>
    <row r="29" spans="1:29" ht="16.5" thickBot="1">
      <c r="A29" s="31">
        <v>2020</v>
      </c>
      <c r="B29" s="31">
        <v>2000</v>
      </c>
      <c r="C29" s="31">
        <v>6</v>
      </c>
      <c r="D29" s="31">
        <v>40.590000000000003</v>
      </c>
      <c r="E29" s="31">
        <v>26.2</v>
      </c>
      <c r="F29" s="139">
        <v>44355</v>
      </c>
      <c r="K29" s="238">
        <v>8.58</v>
      </c>
      <c r="L29" s="238">
        <v>26.1</v>
      </c>
      <c r="M29" s="139">
        <v>44355</v>
      </c>
      <c r="R29" t="s">
        <v>40</v>
      </c>
      <c r="T29" s="210">
        <v>9.18</v>
      </c>
      <c r="U29" s="211">
        <v>9.11</v>
      </c>
      <c r="V29" s="212"/>
      <c r="W29" s="211">
        <v>25.6</v>
      </c>
      <c r="X29" s="211"/>
      <c r="Y29" s="208">
        <f t="shared" si="1"/>
        <v>-7.6252723311547154E-3</v>
      </c>
      <c r="Z29" s="213"/>
      <c r="AA29" s="213"/>
      <c r="AB29" s="211"/>
    </row>
    <row r="30" spans="1:29" ht="15.75">
      <c r="A30" s="31">
        <v>2020</v>
      </c>
      <c r="B30" s="31">
        <v>2000</v>
      </c>
      <c r="C30" s="200">
        <v>7</v>
      </c>
      <c r="D30">
        <v>40.4</v>
      </c>
      <c r="E30" s="31">
        <v>26.2</v>
      </c>
      <c r="F30" s="139">
        <v>44355</v>
      </c>
      <c r="K30" s="238">
        <v>8.57</v>
      </c>
      <c r="L30" s="238">
        <v>26.1</v>
      </c>
      <c r="M30" s="139">
        <v>44355</v>
      </c>
      <c r="R30" t="s">
        <v>40</v>
      </c>
    </row>
    <row r="31" spans="1:29" ht="15.75">
      <c r="A31" s="31">
        <v>2020</v>
      </c>
      <c r="B31" s="31">
        <v>2000</v>
      </c>
      <c r="C31" s="200">
        <v>8</v>
      </c>
      <c r="D31">
        <v>40.43</v>
      </c>
      <c r="E31" s="31">
        <v>26.2</v>
      </c>
      <c r="F31" s="139">
        <v>44355</v>
      </c>
      <c r="K31" s="238">
        <v>8.59</v>
      </c>
      <c r="L31" s="238">
        <v>26.1</v>
      </c>
      <c r="M31" s="139">
        <v>44355</v>
      </c>
      <c r="R31" t="s">
        <v>40</v>
      </c>
      <c r="T31" s="31" t="s">
        <v>1817</v>
      </c>
      <c r="U31" s="200"/>
      <c r="V31" s="201">
        <v>44355</v>
      </c>
      <c r="W31" s="200"/>
      <c r="X31" s="200"/>
      <c r="Y31" s="31"/>
      <c r="Z31" s="31"/>
      <c r="AA31" s="31"/>
      <c r="AB31" s="31"/>
    </row>
    <row r="32" spans="1:29" ht="15.75">
      <c r="A32" s="31">
        <v>2020</v>
      </c>
      <c r="B32" s="31">
        <v>2000</v>
      </c>
      <c r="C32" s="200">
        <v>9</v>
      </c>
      <c r="D32">
        <v>40.14</v>
      </c>
      <c r="E32" s="31">
        <v>26.2</v>
      </c>
      <c r="F32" s="139">
        <v>44355</v>
      </c>
      <c r="K32" s="238">
        <v>8.58</v>
      </c>
      <c r="L32" s="238">
        <v>26.1</v>
      </c>
      <c r="M32" s="139">
        <v>44355</v>
      </c>
      <c r="R32" t="s">
        <v>40</v>
      </c>
      <c r="T32" s="187" t="s">
        <v>1818</v>
      </c>
      <c r="U32" s="200"/>
      <c r="V32" s="200"/>
      <c r="W32" s="200"/>
      <c r="X32" s="200"/>
      <c r="Y32" s="200"/>
      <c r="Z32" s="200"/>
      <c r="AA32" s="200"/>
      <c r="AB32" s="200"/>
    </row>
    <row r="33" spans="1:28" ht="15.75">
      <c r="A33" s="31">
        <v>2020</v>
      </c>
      <c r="B33" s="31">
        <v>2000</v>
      </c>
      <c r="C33" s="200">
        <v>10</v>
      </c>
      <c r="D33">
        <v>40.130000000000003</v>
      </c>
      <c r="E33" s="31">
        <v>26.1</v>
      </c>
      <c r="F33" s="139">
        <v>44355</v>
      </c>
      <c r="K33" s="238">
        <v>8.5500000000000007</v>
      </c>
      <c r="L33" s="238">
        <v>26.1</v>
      </c>
      <c r="M33" s="139">
        <v>44355</v>
      </c>
      <c r="R33" t="s">
        <v>40</v>
      </c>
      <c r="T33" s="31" t="s">
        <v>1882</v>
      </c>
      <c r="U33" s="31" t="s">
        <v>1819</v>
      </c>
      <c r="V33" s="200"/>
      <c r="W33" s="31" t="s">
        <v>1820</v>
      </c>
      <c r="X33" s="200"/>
      <c r="Y33" s="200" t="s">
        <v>1821</v>
      </c>
      <c r="Z33" s="200" t="s">
        <v>1822</v>
      </c>
      <c r="AA33" s="200"/>
      <c r="AB33" s="200"/>
    </row>
    <row r="34" spans="1:28" ht="15.75">
      <c r="A34" s="31">
        <v>2020</v>
      </c>
      <c r="B34" s="31">
        <v>2000</v>
      </c>
      <c r="C34" s="31">
        <v>11</v>
      </c>
      <c r="D34" s="31">
        <v>39.15</v>
      </c>
      <c r="E34" s="31">
        <v>26.1</v>
      </c>
      <c r="F34" s="139">
        <v>44355</v>
      </c>
      <c r="K34" s="238">
        <v>8.44</v>
      </c>
      <c r="L34" s="238">
        <v>26.1</v>
      </c>
      <c r="M34" s="139">
        <v>44355</v>
      </c>
      <c r="R34" t="s">
        <v>40</v>
      </c>
      <c r="T34" s="31"/>
      <c r="U34" s="202"/>
      <c r="V34" s="203"/>
      <c r="W34" s="200"/>
      <c r="X34" s="200"/>
      <c r="Y34" s="202"/>
      <c r="Z34" s="200">
        <f>_xlfn.STDEV.P(Y35:Y37,Y40:Y43)</f>
        <v>7.7409405593456835E-3</v>
      </c>
      <c r="AA34" s="200">
        <f>Z34/SQRT(COUNT(Y35:Y37,Y40:Y42))</f>
        <v>3.160225749935255E-3</v>
      </c>
      <c r="AB34" s="204">
        <f>AA34</f>
        <v>3.160225749935255E-3</v>
      </c>
    </row>
    <row r="35" spans="1:28" ht="15.75">
      <c r="A35" s="31">
        <v>2020</v>
      </c>
      <c r="B35" s="31">
        <v>2000</v>
      </c>
      <c r="C35" s="200">
        <v>12</v>
      </c>
      <c r="D35">
        <v>40.01</v>
      </c>
      <c r="E35" s="31">
        <v>26.1</v>
      </c>
      <c r="F35" s="139">
        <v>44355</v>
      </c>
      <c r="G35">
        <v>40.01</v>
      </c>
      <c r="H35">
        <v>26</v>
      </c>
      <c r="I35" s="125">
        <f>D35-G35</f>
        <v>0</v>
      </c>
      <c r="J35" s="216">
        <f>(I35/AVERAGE(G35,D35))*100</f>
        <v>0</v>
      </c>
      <c r="K35" s="238">
        <v>8.5299999999999994</v>
      </c>
      <c r="L35" s="238">
        <v>26</v>
      </c>
      <c r="M35" s="139">
        <v>44355</v>
      </c>
      <c r="N35">
        <v>8.5399999999999991</v>
      </c>
      <c r="O35">
        <v>26</v>
      </c>
      <c r="P35">
        <f>K35-N35</f>
        <v>-9.9999999999997868E-3</v>
      </c>
      <c r="Q35" s="216">
        <f>(P35/AVERAGE(N35,K35))*100</f>
        <v>-0.11716461628587917</v>
      </c>
      <c r="R35" t="s">
        <v>40</v>
      </c>
      <c r="T35" s="31" t="s">
        <v>1823</v>
      </c>
      <c r="U35" s="200">
        <v>49.4</v>
      </c>
      <c r="V35" s="203" t="s">
        <v>1824</v>
      </c>
      <c r="W35" s="31">
        <v>25.5</v>
      </c>
      <c r="X35" s="200"/>
      <c r="Y35" s="200">
        <f>(50-U35)/50</f>
        <v>1.2000000000000028E-2</v>
      </c>
      <c r="Z35" s="200"/>
      <c r="AA35" s="200"/>
      <c r="AB35" s="200"/>
    </row>
    <row r="36" spans="1:28" ht="15.75">
      <c r="A36" s="31">
        <v>2020</v>
      </c>
      <c r="B36" s="31">
        <v>2000</v>
      </c>
      <c r="C36" s="200">
        <v>13</v>
      </c>
      <c r="D36">
        <v>39.93</v>
      </c>
      <c r="E36" s="31">
        <v>26</v>
      </c>
      <c r="F36" s="139">
        <v>44355</v>
      </c>
      <c r="K36" s="238">
        <v>8.57</v>
      </c>
      <c r="L36" s="238">
        <v>26</v>
      </c>
      <c r="M36" s="139">
        <v>44355</v>
      </c>
      <c r="R36" t="s">
        <v>40</v>
      </c>
      <c r="T36" s="31" t="s">
        <v>1825</v>
      </c>
      <c r="U36" s="200">
        <v>52.5</v>
      </c>
      <c r="V36" s="203" t="s">
        <v>1824</v>
      </c>
      <c r="W36" s="200">
        <v>25.8</v>
      </c>
      <c r="X36" s="200"/>
      <c r="Y36" s="205">
        <f>(53-U36)/53</f>
        <v>9.433962264150943E-3</v>
      </c>
      <c r="Z36" s="200"/>
      <c r="AA36" s="200"/>
      <c r="AB36" s="200"/>
    </row>
    <row r="37" spans="1:28" ht="15.75">
      <c r="A37" s="31">
        <v>2020</v>
      </c>
      <c r="B37" s="31">
        <v>2000</v>
      </c>
      <c r="C37" s="200">
        <v>14</v>
      </c>
      <c r="D37">
        <v>40.159999999999997</v>
      </c>
      <c r="E37" s="31">
        <v>25.9</v>
      </c>
      <c r="F37" s="139">
        <v>44355</v>
      </c>
      <c r="K37" s="238">
        <v>8.59</v>
      </c>
      <c r="L37" s="238">
        <v>26</v>
      </c>
      <c r="M37" s="139">
        <v>44355</v>
      </c>
      <c r="R37" t="s">
        <v>40</v>
      </c>
      <c r="T37" s="200" t="s">
        <v>1826</v>
      </c>
      <c r="U37" s="200">
        <v>12.9</v>
      </c>
      <c r="V37" s="203" t="s">
        <v>1824</v>
      </c>
      <c r="W37" s="200">
        <v>25.2</v>
      </c>
      <c r="X37" s="200"/>
      <c r="Y37" s="205">
        <f>(12.8-U37)/12.8</f>
        <v>-7.8124999999999722E-3</v>
      </c>
      <c r="Z37" s="200"/>
      <c r="AA37" s="200"/>
      <c r="AB37" s="200"/>
    </row>
    <row r="38" spans="1:28" ht="15.75">
      <c r="A38" s="31">
        <v>2020</v>
      </c>
      <c r="B38" s="31">
        <v>2000</v>
      </c>
      <c r="C38" s="200">
        <v>15</v>
      </c>
      <c r="D38">
        <v>38.700000000000003</v>
      </c>
      <c r="E38" s="31">
        <v>25.9</v>
      </c>
      <c r="F38" s="139">
        <v>44355</v>
      </c>
      <c r="K38" s="238">
        <v>8.5</v>
      </c>
      <c r="L38" s="238">
        <v>26</v>
      </c>
      <c r="M38" s="139">
        <v>44355</v>
      </c>
      <c r="R38" t="s">
        <v>40</v>
      </c>
      <c r="X38" s="200"/>
      <c r="Y38" s="200"/>
      <c r="Z38" s="200"/>
      <c r="AA38" s="200"/>
      <c r="AB38" s="200"/>
    </row>
    <row r="39" spans="1:28" ht="15.75">
      <c r="A39" s="31">
        <v>2020</v>
      </c>
      <c r="B39" s="31">
        <v>2000</v>
      </c>
      <c r="C39" s="31">
        <v>16</v>
      </c>
      <c r="D39" s="31">
        <v>39.81</v>
      </c>
      <c r="E39" s="31">
        <v>26</v>
      </c>
      <c r="F39" s="139">
        <v>44355</v>
      </c>
      <c r="K39" s="238">
        <v>8.6</v>
      </c>
      <c r="L39" s="238">
        <v>26.2</v>
      </c>
      <c r="M39" s="139">
        <v>44355</v>
      </c>
      <c r="R39" t="s">
        <v>40</v>
      </c>
      <c r="T39" s="31" t="s">
        <v>1827</v>
      </c>
      <c r="U39" s="31" t="s">
        <v>1819</v>
      </c>
      <c r="V39" s="200"/>
      <c r="W39" s="31" t="s">
        <v>1820</v>
      </c>
      <c r="X39" s="200"/>
      <c r="Y39" s="206"/>
      <c r="Z39" s="200"/>
      <c r="AA39" s="200"/>
      <c r="AB39" s="200"/>
    </row>
    <row r="40" spans="1:28" ht="15.75">
      <c r="A40" s="31">
        <v>2020</v>
      </c>
      <c r="B40" s="31">
        <v>2000</v>
      </c>
      <c r="C40" s="200">
        <v>17</v>
      </c>
      <c r="D40">
        <v>39.99</v>
      </c>
      <c r="E40" s="31">
        <v>26.3</v>
      </c>
      <c r="F40" s="139">
        <v>44355</v>
      </c>
      <c r="K40" s="238">
        <v>8.58</v>
      </c>
      <c r="L40" s="238">
        <v>26.3</v>
      </c>
      <c r="M40" s="139">
        <v>44355</v>
      </c>
      <c r="R40" t="s">
        <v>40</v>
      </c>
      <c r="T40" s="31" t="s">
        <v>1823</v>
      </c>
      <c r="U40" s="2">
        <v>50.3</v>
      </c>
      <c r="V40" s="203" t="s">
        <v>1824</v>
      </c>
      <c r="W40" s="2">
        <v>25.1</v>
      </c>
      <c r="X40" s="200"/>
      <c r="Y40" s="205">
        <f>(50-U40)/50</f>
        <v>-5.9999999999999429E-3</v>
      </c>
      <c r="Z40" s="200"/>
      <c r="AA40" s="200"/>
      <c r="AB40" s="200"/>
    </row>
    <row r="41" spans="1:28" ht="15.75">
      <c r="A41" s="31">
        <v>2020</v>
      </c>
      <c r="B41" s="31">
        <v>2000</v>
      </c>
      <c r="C41" s="200">
        <v>18</v>
      </c>
      <c r="D41">
        <v>40.450000000000003</v>
      </c>
      <c r="E41" s="31">
        <v>26.3</v>
      </c>
      <c r="F41" s="139">
        <v>44355</v>
      </c>
      <c r="K41" s="238">
        <v>8.56</v>
      </c>
      <c r="L41" s="238">
        <v>26.3</v>
      </c>
      <c r="M41" s="139">
        <v>44355</v>
      </c>
      <c r="R41" t="s">
        <v>40</v>
      </c>
      <c r="T41" s="31" t="s">
        <v>1825</v>
      </c>
      <c r="U41" s="2">
        <v>53.2</v>
      </c>
      <c r="V41" s="203" t="s">
        <v>1824</v>
      </c>
      <c r="W41" s="2">
        <v>25.1</v>
      </c>
      <c r="X41" s="200"/>
      <c r="Y41" s="205">
        <f>(53-U41)/53</f>
        <v>-3.7735849056604312E-3</v>
      </c>
      <c r="Z41" s="200"/>
      <c r="AA41" s="200"/>
      <c r="AB41" s="200"/>
    </row>
    <row r="42" spans="1:28" ht="15.75">
      <c r="A42" s="31">
        <v>2020</v>
      </c>
      <c r="B42" s="31">
        <v>2000</v>
      </c>
      <c r="C42" s="200">
        <v>19</v>
      </c>
      <c r="D42">
        <v>40.35</v>
      </c>
      <c r="E42" s="31">
        <v>26.3</v>
      </c>
      <c r="F42" s="139">
        <v>44355</v>
      </c>
      <c r="K42" s="238">
        <v>8.64</v>
      </c>
      <c r="L42" s="238">
        <v>26.3</v>
      </c>
      <c r="M42" s="139">
        <v>44355</v>
      </c>
      <c r="R42" t="s">
        <v>40</v>
      </c>
      <c r="T42" s="200" t="s">
        <v>1826</v>
      </c>
      <c r="U42" s="240">
        <v>12.85</v>
      </c>
      <c r="V42" s="203" t="s">
        <v>1824</v>
      </c>
      <c r="W42" s="240">
        <v>25.3</v>
      </c>
      <c r="X42" s="207"/>
      <c r="Y42" s="205">
        <f>(12.8-U42)/12.8</f>
        <v>-3.9062499999999167E-3</v>
      </c>
      <c r="Z42" s="200"/>
      <c r="AA42" s="200"/>
      <c r="AB42" s="200"/>
    </row>
    <row r="43" spans="1:28" ht="15.75">
      <c r="A43" s="31">
        <v>2020</v>
      </c>
      <c r="B43" s="31">
        <v>2000</v>
      </c>
      <c r="C43" s="200">
        <v>20</v>
      </c>
      <c r="D43">
        <v>40.17</v>
      </c>
      <c r="E43" s="31">
        <v>26.3</v>
      </c>
      <c r="F43" s="139">
        <v>44355</v>
      </c>
      <c r="K43" s="238">
        <v>8.64</v>
      </c>
      <c r="L43" s="219">
        <v>26.2</v>
      </c>
      <c r="M43" s="139">
        <v>44355</v>
      </c>
      <c r="R43" t="s">
        <v>40</v>
      </c>
      <c r="T43" s="200"/>
      <c r="U43" s="200"/>
      <c r="V43" s="203"/>
      <c r="W43" s="200"/>
      <c r="X43" s="200"/>
      <c r="Y43" s="205"/>
      <c r="Z43" s="200"/>
      <c r="AA43" s="200"/>
      <c r="AB43" s="200"/>
    </row>
    <row r="44" spans="1:28" s="219" customFormat="1" ht="15.75">
      <c r="A44" s="215">
        <v>2020</v>
      </c>
      <c r="B44" s="215">
        <v>2000</v>
      </c>
      <c r="C44" s="215">
        <v>21</v>
      </c>
      <c r="D44" s="219">
        <v>40.24</v>
      </c>
      <c r="E44" s="219">
        <v>26.2</v>
      </c>
      <c r="F44" s="139">
        <v>44355</v>
      </c>
      <c r="K44" s="219">
        <v>8.56</v>
      </c>
      <c r="L44" s="219">
        <v>26.2</v>
      </c>
      <c r="M44" s="139">
        <v>44355</v>
      </c>
      <c r="R44" t="s">
        <v>40</v>
      </c>
      <c r="T44" s="200"/>
      <c r="U44" s="200"/>
      <c r="V44" s="200"/>
      <c r="W44" s="200"/>
      <c r="X44" s="200"/>
      <c r="Y44" s="200"/>
      <c r="Z44" s="200"/>
      <c r="AA44" s="200"/>
      <c r="AB44" s="200"/>
    </row>
    <row r="45" spans="1:28" ht="15.75">
      <c r="A45" s="31">
        <v>2020</v>
      </c>
      <c r="B45" s="31">
        <v>3800</v>
      </c>
      <c r="C45" s="31">
        <v>1</v>
      </c>
      <c r="D45" s="241">
        <v>40.659999999999997</v>
      </c>
      <c r="E45" s="31">
        <v>25.6</v>
      </c>
      <c r="F45" s="139">
        <v>44355</v>
      </c>
      <c r="K45" s="238">
        <v>8.57</v>
      </c>
      <c r="L45" s="238">
        <v>25.7</v>
      </c>
      <c r="M45" s="139">
        <v>44355</v>
      </c>
      <c r="R45" t="s">
        <v>40</v>
      </c>
      <c r="T45" s="31" t="s">
        <v>1724</v>
      </c>
      <c r="U45" s="200"/>
      <c r="V45" s="200"/>
      <c r="W45" s="200"/>
      <c r="X45" s="200"/>
      <c r="Y45" s="200"/>
      <c r="Z45" s="200"/>
      <c r="AA45" s="200"/>
      <c r="AB45" s="200"/>
    </row>
    <row r="46" spans="1:28" ht="15.75">
      <c r="A46" s="31">
        <v>2020</v>
      </c>
      <c r="B46" s="31">
        <v>3800</v>
      </c>
      <c r="C46" s="200">
        <v>2</v>
      </c>
      <c r="D46" s="238">
        <v>40.57</v>
      </c>
      <c r="E46" s="31">
        <v>25.8</v>
      </c>
      <c r="F46" s="139">
        <v>44355</v>
      </c>
      <c r="K46" s="238">
        <v>8.58</v>
      </c>
      <c r="L46" s="238">
        <v>25.9</v>
      </c>
      <c r="M46" s="139">
        <v>44355</v>
      </c>
      <c r="R46" t="s">
        <v>40</v>
      </c>
      <c r="T46" s="197" t="s">
        <v>1883</v>
      </c>
      <c r="U46" s="200"/>
      <c r="V46" s="200"/>
      <c r="W46" s="200"/>
      <c r="X46" s="200"/>
      <c r="Y46" s="200"/>
      <c r="Z46" s="200"/>
      <c r="AA46" s="200"/>
      <c r="AB46" s="200"/>
    </row>
    <row r="47" spans="1:28" ht="15.75">
      <c r="A47" s="31">
        <v>2020</v>
      </c>
      <c r="B47" s="31">
        <v>3800</v>
      </c>
      <c r="C47" s="200">
        <v>3</v>
      </c>
      <c r="D47" s="238">
        <v>40.619999999999997</v>
      </c>
      <c r="E47" s="31">
        <v>25.8</v>
      </c>
      <c r="F47" s="139">
        <v>44355</v>
      </c>
      <c r="G47">
        <v>40.57</v>
      </c>
      <c r="H47">
        <v>25.8</v>
      </c>
      <c r="I47" s="125">
        <f>D47-G47</f>
        <v>4.9999999999997158E-2</v>
      </c>
      <c r="J47" s="216">
        <f>(I47/AVERAGE(G47,D47))*100</f>
        <v>0.12316787781745819</v>
      </c>
      <c r="K47" s="238">
        <v>8.6300000000000008</v>
      </c>
      <c r="L47" s="238">
        <v>25.9</v>
      </c>
      <c r="M47" s="139">
        <v>44355</v>
      </c>
      <c r="N47">
        <v>8.6199999999999992</v>
      </c>
      <c r="O47">
        <v>26</v>
      </c>
      <c r="P47">
        <f>K47-N47</f>
        <v>1.0000000000001563E-2</v>
      </c>
      <c r="Q47" s="216">
        <f>(P47/AVERAGE(N47,K47))*100</f>
        <v>0.11594202898552537</v>
      </c>
      <c r="R47" t="s">
        <v>40</v>
      </c>
      <c r="T47" s="31" t="s">
        <v>1884</v>
      </c>
      <c r="U47" s="31" t="s">
        <v>1819</v>
      </c>
      <c r="V47" s="200"/>
      <c r="W47" s="31" t="s">
        <v>1820</v>
      </c>
      <c r="X47" s="200"/>
      <c r="Y47" s="200" t="s">
        <v>1821</v>
      </c>
      <c r="Z47" s="200" t="s">
        <v>1822</v>
      </c>
      <c r="AA47" s="200"/>
      <c r="AB47" s="200"/>
    </row>
    <row r="48" spans="1:28" ht="15.75">
      <c r="A48" s="31">
        <v>2020</v>
      </c>
      <c r="B48" s="31">
        <v>3800</v>
      </c>
      <c r="C48" s="200">
        <v>4</v>
      </c>
      <c r="D48" s="238">
        <v>40.380000000000003</v>
      </c>
      <c r="E48" s="31">
        <v>25.8</v>
      </c>
      <c r="F48" s="139">
        <v>44355</v>
      </c>
      <c r="K48" s="238">
        <v>8.59</v>
      </c>
      <c r="L48" s="238">
        <v>25.9</v>
      </c>
      <c r="M48" s="139">
        <v>44355</v>
      </c>
      <c r="R48" t="s">
        <v>40</v>
      </c>
      <c r="T48" s="31" t="s">
        <v>1832</v>
      </c>
      <c r="Y48" s="208"/>
    </row>
    <row r="49" spans="1:28" ht="15.75">
      <c r="A49" s="31">
        <v>2020</v>
      </c>
      <c r="B49" s="31">
        <v>3800</v>
      </c>
      <c r="C49" s="200">
        <v>5</v>
      </c>
      <c r="D49" s="238">
        <v>40.57</v>
      </c>
      <c r="E49" s="31">
        <v>25.8</v>
      </c>
      <c r="F49" s="139">
        <v>44355</v>
      </c>
      <c r="K49" s="238">
        <v>8.6</v>
      </c>
      <c r="L49" s="238">
        <v>26</v>
      </c>
      <c r="M49" s="139">
        <v>44355</v>
      </c>
      <c r="R49" t="s">
        <v>40</v>
      </c>
      <c r="T49" s="31">
        <v>7.01</v>
      </c>
      <c r="U49">
        <v>7.04</v>
      </c>
      <c r="W49">
        <v>25.7</v>
      </c>
      <c r="Y49" s="208">
        <f>(U49-T49)/T49</f>
        <v>4.2796005706134451E-3</v>
      </c>
      <c r="Z49" s="208">
        <f>_xlfn.STDEV.P(Y49:Y57)</f>
        <v>5.7122959347150684E-3</v>
      </c>
      <c r="AA49" s="208">
        <f>Z49/SQRT(2)</f>
        <v>4.0392031915813722E-3</v>
      </c>
      <c r="AB49" s="204">
        <f>AA49</f>
        <v>4.0392031915813722E-3</v>
      </c>
    </row>
    <row r="50" spans="1:28" ht="15.75">
      <c r="A50" s="31">
        <v>2020</v>
      </c>
      <c r="B50" s="31">
        <v>3800</v>
      </c>
      <c r="C50" s="31">
        <v>6</v>
      </c>
      <c r="D50" s="241">
        <v>40.479999999999997</v>
      </c>
      <c r="E50" s="31">
        <v>25.7</v>
      </c>
      <c r="F50" s="139">
        <v>44355</v>
      </c>
      <c r="K50" s="238">
        <v>8.61</v>
      </c>
      <c r="L50" s="238">
        <v>25.9</v>
      </c>
      <c r="M50" s="139">
        <v>44355</v>
      </c>
      <c r="R50" t="s">
        <v>40</v>
      </c>
      <c r="T50" s="31">
        <v>10.01</v>
      </c>
      <c r="U50">
        <v>10.039999999999999</v>
      </c>
      <c r="W50">
        <v>26</v>
      </c>
      <c r="Y50" s="208">
        <f t="shared" ref="Y50:Y52" si="2">(U50-T50)/T50</f>
        <v>2.9970029970029332E-3</v>
      </c>
    </row>
    <row r="51" spans="1:28" ht="15.75">
      <c r="A51" s="31">
        <v>2020</v>
      </c>
      <c r="B51" s="31">
        <v>3800</v>
      </c>
      <c r="C51" s="200">
        <v>7</v>
      </c>
      <c r="D51" s="238">
        <v>40.44</v>
      </c>
      <c r="E51" s="31">
        <v>25.7</v>
      </c>
      <c r="F51" s="139">
        <v>44355</v>
      </c>
      <c r="K51" s="238">
        <v>8.59</v>
      </c>
      <c r="L51" s="238">
        <v>25.9</v>
      </c>
      <c r="M51" s="139">
        <v>44355</v>
      </c>
      <c r="R51" t="s">
        <v>40</v>
      </c>
      <c r="T51" s="31">
        <v>12.45</v>
      </c>
      <c r="U51">
        <v>12.44</v>
      </c>
      <c r="W51">
        <v>26.1</v>
      </c>
      <c r="Y51" s="208">
        <f t="shared" si="2"/>
        <v>-8.0321285140560539E-4</v>
      </c>
    </row>
    <row r="52" spans="1:28" ht="16.5" thickBot="1">
      <c r="A52" s="31">
        <v>2020</v>
      </c>
      <c r="B52" s="31">
        <v>3800</v>
      </c>
      <c r="C52" s="200">
        <v>8</v>
      </c>
      <c r="D52" s="238">
        <v>40.49</v>
      </c>
      <c r="E52" s="31">
        <v>25.7</v>
      </c>
      <c r="F52" s="139">
        <v>44355</v>
      </c>
      <c r="K52" s="238">
        <v>8.51</v>
      </c>
      <c r="L52" s="238">
        <v>25.7</v>
      </c>
      <c r="M52" s="139">
        <v>44355</v>
      </c>
      <c r="R52" t="s">
        <v>40</v>
      </c>
      <c r="T52" s="210">
        <v>9.18</v>
      </c>
      <c r="U52" s="200">
        <v>9.1</v>
      </c>
      <c r="V52" s="203"/>
      <c r="W52" s="200">
        <v>26.1</v>
      </c>
      <c r="X52" s="200"/>
      <c r="Y52" s="208">
        <f t="shared" si="2"/>
        <v>-8.7145969498910753E-3</v>
      </c>
    </row>
    <row r="53" spans="1:28" ht="15.75">
      <c r="A53" s="31">
        <v>2020</v>
      </c>
      <c r="B53" s="31">
        <v>3800</v>
      </c>
      <c r="C53" s="200">
        <v>9</v>
      </c>
      <c r="D53" s="238">
        <v>40.53</v>
      </c>
      <c r="E53" s="31">
        <v>25.9</v>
      </c>
      <c r="F53" s="139">
        <v>44355</v>
      </c>
      <c r="K53" s="238">
        <v>8.64</v>
      </c>
      <c r="L53" s="238">
        <v>26</v>
      </c>
      <c r="M53" s="139">
        <v>44355</v>
      </c>
      <c r="R53" t="s">
        <v>40</v>
      </c>
      <c r="T53" s="31" t="s">
        <v>1828</v>
      </c>
      <c r="U53" s="31" t="s">
        <v>1819</v>
      </c>
      <c r="V53" s="200"/>
      <c r="W53" s="31" t="s">
        <v>1820</v>
      </c>
      <c r="X53" s="200"/>
      <c r="Y53" s="208"/>
      <c r="Z53" s="208"/>
      <c r="AA53" s="208"/>
      <c r="AB53" s="200"/>
    </row>
    <row r="54" spans="1:28" ht="15.75">
      <c r="A54" s="31">
        <v>2020</v>
      </c>
      <c r="B54" s="31">
        <v>3800</v>
      </c>
      <c r="C54" s="200">
        <v>10</v>
      </c>
      <c r="D54" s="238">
        <v>40.33</v>
      </c>
      <c r="E54" s="31">
        <v>25.9</v>
      </c>
      <c r="F54" s="139">
        <v>44355</v>
      </c>
      <c r="K54" s="238">
        <v>8.6300000000000008</v>
      </c>
      <c r="L54" s="238">
        <v>25.9</v>
      </c>
      <c r="M54" s="139">
        <v>44355</v>
      </c>
      <c r="R54" t="s">
        <v>40</v>
      </c>
      <c r="T54" s="31">
        <v>7.01</v>
      </c>
      <c r="U54" s="2">
        <v>7.08</v>
      </c>
      <c r="V54" s="203"/>
      <c r="W54" s="2">
        <v>26</v>
      </c>
      <c r="X54" s="200"/>
      <c r="Y54" s="208">
        <f>(U54-T54)/T54</f>
        <v>9.985734664764663E-3</v>
      </c>
      <c r="Z54" s="208"/>
      <c r="AA54" s="208"/>
      <c r="AB54" s="200"/>
    </row>
    <row r="55" spans="1:28" ht="15.75">
      <c r="A55" s="31">
        <v>2020</v>
      </c>
      <c r="B55" s="31">
        <v>3800</v>
      </c>
      <c r="C55" s="31">
        <v>11</v>
      </c>
      <c r="D55" s="241">
        <v>40.08</v>
      </c>
      <c r="E55" s="31">
        <v>25.9</v>
      </c>
      <c r="F55" s="139">
        <v>44355</v>
      </c>
      <c r="K55" s="238">
        <v>8.59</v>
      </c>
      <c r="L55" s="238">
        <v>26</v>
      </c>
      <c r="M55" s="139">
        <v>44355</v>
      </c>
      <c r="R55" t="s">
        <v>40</v>
      </c>
      <c r="T55" s="31">
        <v>10.01</v>
      </c>
      <c r="U55" s="2">
        <v>10.06</v>
      </c>
      <c r="V55" s="203"/>
      <c r="W55" s="2">
        <v>26.1</v>
      </c>
      <c r="X55" s="200"/>
      <c r="Y55" s="208">
        <f t="shared" ref="Y55:Y57" si="3">(U55-T55)/T55</f>
        <v>4.9950049950050661E-3</v>
      </c>
      <c r="Z55" s="208"/>
      <c r="AA55" s="208"/>
      <c r="AB55" s="200"/>
    </row>
    <row r="56" spans="1:28" ht="15.75">
      <c r="A56" s="31">
        <v>2020</v>
      </c>
      <c r="B56" s="31">
        <v>3800</v>
      </c>
      <c r="C56" s="200">
        <v>12</v>
      </c>
      <c r="D56" s="238">
        <v>39.97</v>
      </c>
      <c r="E56" s="31">
        <v>25.9</v>
      </c>
      <c r="F56" s="139">
        <v>44355</v>
      </c>
      <c r="G56">
        <v>39.99</v>
      </c>
      <c r="H56">
        <v>25.8</v>
      </c>
      <c r="I56" s="125">
        <f>D56-G56</f>
        <v>-2.0000000000003126E-2</v>
      </c>
      <c r="J56" s="216">
        <f>(I56/AVERAGE(G56,D56))*100</f>
        <v>-5.0025012506260944E-2</v>
      </c>
      <c r="K56" s="238">
        <v>8.52</v>
      </c>
      <c r="L56" s="238">
        <v>25.9</v>
      </c>
      <c r="M56" s="139">
        <v>44355</v>
      </c>
      <c r="N56">
        <v>8.5299999999999994</v>
      </c>
      <c r="O56">
        <v>25.8</v>
      </c>
      <c r="P56">
        <f>K56-N56</f>
        <v>-9.9999999999997868E-3</v>
      </c>
      <c r="Q56" s="216">
        <f>(P56/AVERAGE(N56,K56))*100</f>
        <v>-0.11730205278592128</v>
      </c>
      <c r="R56" t="s">
        <v>40</v>
      </c>
      <c r="T56" s="31">
        <v>12.45</v>
      </c>
      <c r="U56" s="2">
        <v>12.42</v>
      </c>
      <c r="V56" s="203"/>
      <c r="W56" s="2">
        <v>26</v>
      </c>
      <c r="X56" s="207"/>
      <c r="Y56" s="208">
        <f t="shared" si="3"/>
        <v>-2.4096385542168161E-3</v>
      </c>
      <c r="Z56" s="209"/>
      <c r="AA56" s="209"/>
      <c r="AB56" s="207"/>
    </row>
    <row r="57" spans="1:28" ht="16.5" thickBot="1">
      <c r="A57" s="31">
        <v>2020</v>
      </c>
      <c r="B57" s="31">
        <v>3800</v>
      </c>
      <c r="C57" s="200">
        <v>13</v>
      </c>
      <c r="D57" s="238">
        <v>40.24</v>
      </c>
      <c r="E57" s="31">
        <v>25.9</v>
      </c>
      <c r="F57" s="139">
        <v>44355</v>
      </c>
      <c r="K57" s="238">
        <v>8.58</v>
      </c>
      <c r="L57" s="238">
        <v>25.9</v>
      </c>
      <c r="M57" s="139">
        <v>44355</v>
      </c>
      <c r="R57" t="s">
        <v>40</v>
      </c>
      <c r="T57" s="210">
        <v>9.18</v>
      </c>
      <c r="U57" s="239">
        <v>9.1300000000000008</v>
      </c>
      <c r="V57" s="212"/>
      <c r="W57" s="239">
        <v>26.1</v>
      </c>
      <c r="X57" s="211"/>
      <c r="Y57" s="208">
        <f t="shared" si="3"/>
        <v>-5.4466230936818013E-3</v>
      </c>
      <c r="Z57" s="213"/>
      <c r="AA57" s="213"/>
      <c r="AB57" s="211"/>
    </row>
    <row r="58" spans="1:28" ht="15.75">
      <c r="A58" s="31">
        <v>2020</v>
      </c>
      <c r="B58" s="31">
        <v>3800</v>
      </c>
      <c r="C58" s="200">
        <v>14</v>
      </c>
      <c r="D58" s="238">
        <v>40.14</v>
      </c>
      <c r="E58" s="31">
        <v>25.8</v>
      </c>
      <c r="F58" s="139">
        <v>44355</v>
      </c>
      <c r="K58" s="238">
        <v>8.56</v>
      </c>
      <c r="L58" s="238">
        <v>25.8</v>
      </c>
      <c r="M58" s="139">
        <v>44355</v>
      </c>
      <c r="R58" t="s">
        <v>40</v>
      </c>
    </row>
    <row r="59" spans="1:28" ht="15.75">
      <c r="A59" s="31">
        <v>2020</v>
      </c>
      <c r="B59" s="31">
        <v>3800</v>
      </c>
      <c r="C59" s="200">
        <v>15</v>
      </c>
      <c r="D59" s="238">
        <v>40.270000000000003</v>
      </c>
      <c r="E59" s="31">
        <v>25.8</v>
      </c>
      <c r="F59" s="139">
        <v>44355</v>
      </c>
      <c r="K59" s="238">
        <v>8.6</v>
      </c>
      <c r="L59" s="238">
        <v>25.8</v>
      </c>
      <c r="M59" s="139">
        <v>44355</v>
      </c>
      <c r="R59" t="s">
        <v>40</v>
      </c>
    </row>
    <row r="60" spans="1:28">
      <c r="A60" s="31">
        <v>2020</v>
      </c>
      <c r="B60" s="31">
        <v>3800</v>
      </c>
      <c r="C60" s="31">
        <v>16</v>
      </c>
      <c r="D60" s="241">
        <v>40.270000000000003</v>
      </c>
      <c r="E60" s="31">
        <v>25.9</v>
      </c>
      <c r="F60" s="139">
        <v>44355</v>
      </c>
      <c r="K60" s="238">
        <v>8.57</v>
      </c>
      <c r="L60" s="238">
        <v>25.9</v>
      </c>
      <c r="M60" s="139">
        <v>44355</v>
      </c>
      <c r="R60" t="s">
        <v>40</v>
      </c>
    </row>
    <row r="61" spans="1:28" ht="15.75">
      <c r="A61" s="31">
        <v>2020</v>
      </c>
      <c r="B61" s="31">
        <v>3800</v>
      </c>
      <c r="C61" s="200">
        <v>17</v>
      </c>
      <c r="D61" s="238">
        <v>40.369999999999997</v>
      </c>
      <c r="E61" s="31">
        <v>25.9</v>
      </c>
      <c r="F61" s="139">
        <v>44355</v>
      </c>
      <c r="K61" s="238">
        <v>8.5299999999999994</v>
      </c>
      <c r="L61" s="238">
        <v>26</v>
      </c>
      <c r="M61" s="139">
        <v>44355</v>
      </c>
      <c r="R61" t="s">
        <v>40</v>
      </c>
    </row>
    <row r="62" spans="1:28" ht="15.75">
      <c r="A62" s="31">
        <v>2020</v>
      </c>
      <c r="B62" s="31">
        <v>3800</v>
      </c>
      <c r="C62" s="200">
        <v>18</v>
      </c>
      <c r="D62" s="238">
        <v>40.200000000000003</v>
      </c>
      <c r="E62" s="31">
        <v>25.9</v>
      </c>
      <c r="F62" s="139">
        <v>44355</v>
      </c>
      <c r="K62" s="238">
        <v>8.61</v>
      </c>
      <c r="L62" s="238">
        <v>26</v>
      </c>
      <c r="M62" s="139">
        <v>44355</v>
      </c>
      <c r="R62" t="s">
        <v>40</v>
      </c>
    </row>
    <row r="63" spans="1:28" ht="15.75">
      <c r="A63" s="31">
        <v>2020</v>
      </c>
      <c r="B63" s="31">
        <v>3800</v>
      </c>
      <c r="C63" s="200">
        <v>19</v>
      </c>
      <c r="D63" s="238">
        <v>40.229999999999997</v>
      </c>
      <c r="E63" s="31">
        <v>25.9</v>
      </c>
      <c r="F63" s="139">
        <v>44355</v>
      </c>
      <c r="K63" s="238">
        <v>8.59</v>
      </c>
      <c r="L63" s="238">
        <v>26.2</v>
      </c>
      <c r="M63" s="139">
        <v>44355</v>
      </c>
      <c r="R63" t="s">
        <v>40</v>
      </c>
    </row>
    <row r="64" spans="1:28" ht="15.75">
      <c r="A64" s="31">
        <v>2020</v>
      </c>
      <c r="B64" s="31">
        <v>3800</v>
      </c>
      <c r="C64" s="200">
        <v>20</v>
      </c>
      <c r="D64" s="238">
        <v>40.47</v>
      </c>
      <c r="E64" s="31">
        <v>25.9</v>
      </c>
      <c r="F64" s="139">
        <v>44355</v>
      </c>
      <c r="K64" s="238">
        <v>8.5500000000000007</v>
      </c>
      <c r="L64" s="238">
        <v>26.2</v>
      </c>
      <c r="M64" s="139">
        <v>44355</v>
      </c>
      <c r="R64" t="s">
        <v>40</v>
      </c>
    </row>
    <row r="65" spans="1:18">
      <c r="A65" s="31">
        <v>2020</v>
      </c>
      <c r="B65" s="31">
        <v>3800</v>
      </c>
      <c r="C65" s="215">
        <v>21</v>
      </c>
      <c r="D65" s="241">
        <v>40.450000000000003</v>
      </c>
      <c r="E65" s="31">
        <v>25.9</v>
      </c>
      <c r="F65" s="139">
        <v>44355</v>
      </c>
      <c r="K65" s="238">
        <v>8.57</v>
      </c>
      <c r="L65" s="238">
        <v>26.1</v>
      </c>
      <c r="M65" s="139">
        <v>44355</v>
      </c>
      <c r="R65" t="s">
        <v>40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DB1DE-48E6-45E9-9896-E7DBFB4D8DB3}">
  <dimension ref="A1:BD88"/>
  <sheetViews>
    <sheetView topLeftCell="A28" zoomScale="70" zoomScaleNormal="70" workbookViewId="0">
      <selection activeCell="AE59" sqref="AE59"/>
    </sheetView>
  </sheetViews>
  <sheetFormatPr defaultRowHeight="15"/>
  <cols>
    <col min="1" max="1" width="32" bestFit="1" customWidth="1"/>
    <col min="8" max="10" width="11.5703125" bestFit="1" customWidth="1"/>
    <col min="12" max="12" width="10.85546875" bestFit="1" customWidth="1"/>
    <col min="13" max="13" width="11.5703125" bestFit="1" customWidth="1"/>
    <col min="22" max="22" width="8.7109375" style="230"/>
    <col min="24" max="24" width="18" style="52" bestFit="1" customWidth="1"/>
    <col min="25" max="25" width="21.85546875" customWidth="1"/>
    <col min="26" max="26" width="26.140625" customWidth="1"/>
    <col min="29" max="29" width="9.85546875" bestFit="1" customWidth="1"/>
    <col min="32" max="32" width="28.5703125" bestFit="1" customWidth="1"/>
    <col min="35" max="35" width="9.85546875" bestFit="1" customWidth="1"/>
  </cols>
  <sheetData>
    <row r="1" spans="1:56" ht="15.75">
      <c r="B1" t="s">
        <v>1834</v>
      </c>
      <c r="C1" t="s">
        <v>156</v>
      </c>
      <c r="D1" t="s">
        <v>1835</v>
      </c>
      <c r="E1" t="s">
        <v>1835</v>
      </c>
      <c r="F1" s="125" t="s">
        <v>1836</v>
      </c>
      <c r="G1" s="149" t="s">
        <v>1836</v>
      </c>
      <c r="H1" s="222" t="s">
        <v>1732</v>
      </c>
      <c r="I1" s="222" t="s">
        <v>1732</v>
      </c>
      <c r="J1" t="s">
        <v>1837</v>
      </c>
      <c r="K1" s="155" t="s">
        <v>1838</v>
      </c>
      <c r="L1" s="155" t="s">
        <v>1721</v>
      </c>
      <c r="M1" t="s">
        <v>1837</v>
      </c>
      <c r="N1" s="155" t="s">
        <v>1838</v>
      </c>
      <c r="O1" s="155" t="s">
        <v>1721</v>
      </c>
      <c r="P1" s="155" t="s">
        <v>1839</v>
      </c>
      <c r="Q1" t="s">
        <v>1840</v>
      </c>
      <c r="R1" t="s">
        <v>1841</v>
      </c>
      <c r="S1" t="s">
        <v>1760</v>
      </c>
      <c r="T1" t="s">
        <v>1760</v>
      </c>
      <c r="U1" s="125" t="s">
        <v>1836</v>
      </c>
      <c r="V1" s="223" t="s">
        <v>1836</v>
      </c>
      <c r="W1" s="125" t="s">
        <v>1836</v>
      </c>
      <c r="X1" s="224" t="s">
        <v>1836</v>
      </c>
      <c r="Y1" s="225" t="s">
        <v>1836</v>
      </c>
      <c r="Z1" s="34" t="s">
        <v>1836</v>
      </c>
      <c r="AA1" s="34" t="s">
        <v>1842</v>
      </c>
      <c r="AB1" s="34" t="s">
        <v>1842</v>
      </c>
      <c r="AC1" s="226" t="s">
        <v>1837</v>
      </c>
      <c r="AD1" s="227" t="s">
        <v>1838</v>
      </c>
      <c r="AE1" s="227" t="s">
        <v>1721</v>
      </c>
      <c r="AF1" s="118" t="s">
        <v>1836</v>
      </c>
      <c r="AG1" s="118" t="s">
        <v>1836</v>
      </c>
      <c r="AH1" s="118" t="s">
        <v>1836</v>
      </c>
      <c r="AI1" s="226" t="s">
        <v>1837</v>
      </c>
      <c r="AJ1" s="227" t="s">
        <v>1838</v>
      </c>
      <c r="AK1" s="227" t="s">
        <v>1721</v>
      </c>
      <c r="AO1" t="s">
        <v>1864</v>
      </c>
    </row>
    <row r="2" spans="1:56" ht="15.75">
      <c r="B2" t="s">
        <v>1843</v>
      </c>
      <c r="C2" t="s">
        <v>1844</v>
      </c>
      <c r="D2" t="s">
        <v>1845</v>
      </c>
      <c r="E2" t="s">
        <v>1846</v>
      </c>
      <c r="F2" s="125" t="s">
        <v>1847</v>
      </c>
      <c r="G2" s="149" t="s">
        <v>1848</v>
      </c>
      <c r="H2" s="222" t="s">
        <v>1847</v>
      </c>
      <c r="I2" s="222" t="s">
        <v>1849</v>
      </c>
      <c r="J2" t="s">
        <v>1850</v>
      </c>
      <c r="K2" s="155" t="s">
        <v>1799</v>
      </c>
      <c r="L2" s="155" t="s">
        <v>1851</v>
      </c>
      <c r="M2" t="s">
        <v>1850</v>
      </c>
      <c r="N2" s="155" t="s">
        <v>1799</v>
      </c>
      <c r="O2" s="155" t="s">
        <v>1851</v>
      </c>
      <c r="P2" s="155"/>
      <c r="Q2" t="s">
        <v>1852</v>
      </c>
      <c r="U2" s="125" t="s">
        <v>1853</v>
      </c>
      <c r="V2" s="223" t="s">
        <v>1854</v>
      </c>
      <c r="W2" s="125" t="s">
        <v>1855</v>
      </c>
      <c r="X2" s="224" t="s">
        <v>1856</v>
      </c>
      <c r="Y2" s="225" t="s">
        <v>1857</v>
      </c>
      <c r="Z2" s="34" t="s">
        <v>1858</v>
      </c>
      <c r="AA2" s="34" t="s">
        <v>1815</v>
      </c>
      <c r="AB2" s="34" t="s">
        <v>1799</v>
      </c>
      <c r="AC2" s="226" t="s">
        <v>1850</v>
      </c>
      <c r="AD2" s="227" t="s">
        <v>1799</v>
      </c>
      <c r="AE2" s="227" t="s">
        <v>1851</v>
      </c>
      <c r="AF2" s="118" t="s">
        <v>1859</v>
      </c>
      <c r="AG2" s="118" t="s">
        <v>1860</v>
      </c>
      <c r="AH2" s="118" t="s">
        <v>1860</v>
      </c>
      <c r="AI2" s="226" t="s">
        <v>1850</v>
      </c>
      <c r="AJ2" s="227" t="s">
        <v>1799</v>
      </c>
      <c r="AK2" s="227" t="s">
        <v>1851</v>
      </c>
      <c r="AO2" t="s">
        <v>1865</v>
      </c>
    </row>
    <row r="3" spans="1:56">
      <c r="A3" s="31"/>
      <c r="B3" s="31"/>
      <c r="C3" s="190"/>
      <c r="D3" s="190"/>
      <c r="E3" s="31"/>
      <c r="F3" s="149" t="s">
        <v>1815</v>
      </c>
      <c r="G3" s="149" t="s">
        <v>1815</v>
      </c>
      <c r="H3" s="228"/>
      <c r="I3" s="228"/>
      <c r="J3" s="31" t="s">
        <v>1861</v>
      </c>
      <c r="K3" s="31" t="s">
        <v>1861</v>
      </c>
      <c r="L3" s="31" t="s">
        <v>1861</v>
      </c>
      <c r="M3" s="31" t="s">
        <v>1862</v>
      </c>
      <c r="N3" s="31" t="s">
        <v>1862</v>
      </c>
      <c r="O3" s="31" t="s">
        <v>1862</v>
      </c>
      <c r="P3" s="187"/>
      <c r="Q3" s="31"/>
      <c r="R3" s="31"/>
      <c r="S3" s="31"/>
      <c r="T3" s="31"/>
      <c r="U3" s="149" t="s">
        <v>1815</v>
      </c>
      <c r="V3" s="223" t="s">
        <v>1815</v>
      </c>
      <c r="W3" s="125" t="s">
        <v>1815</v>
      </c>
      <c r="X3" s="224"/>
      <c r="Y3" s="125" t="s">
        <v>1815</v>
      </c>
      <c r="Z3" s="1" t="s">
        <v>1815</v>
      </c>
      <c r="AA3" s="1" t="s">
        <v>1815</v>
      </c>
      <c r="AB3" s="1" t="s">
        <v>1799</v>
      </c>
      <c r="AC3" s="31"/>
      <c r="AD3" s="31"/>
      <c r="AE3" s="31"/>
      <c r="AF3" s="118" t="s">
        <v>1815</v>
      </c>
      <c r="AG3" s="118" t="s">
        <v>1815</v>
      </c>
      <c r="AH3" s="118" t="s">
        <v>1799</v>
      </c>
      <c r="AI3" s="31"/>
      <c r="AJ3" s="31"/>
      <c r="AK3" s="31"/>
      <c r="AL3" s="31"/>
      <c r="AM3" s="31"/>
      <c r="AN3" s="31"/>
      <c r="AO3" s="31" t="s">
        <v>1866</v>
      </c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</row>
    <row r="4" spans="1:56">
      <c r="A4" s="31"/>
      <c r="B4" s="31"/>
      <c r="C4" s="190"/>
      <c r="D4" s="190"/>
      <c r="E4" s="31"/>
      <c r="F4" s="149"/>
      <c r="G4" s="149"/>
      <c r="H4" s="228"/>
      <c r="I4" s="228"/>
      <c r="J4" s="228"/>
      <c r="K4" s="228"/>
      <c r="L4" s="228"/>
      <c r="M4" s="31"/>
      <c r="N4" s="187"/>
      <c r="O4" s="187"/>
      <c r="P4" s="187"/>
      <c r="Q4" s="31"/>
      <c r="R4" s="31"/>
      <c r="S4" s="31"/>
      <c r="T4" s="31"/>
      <c r="U4" s="149"/>
      <c r="V4" s="223"/>
      <c r="W4" s="125"/>
      <c r="X4" s="224"/>
      <c r="Y4" s="125"/>
      <c r="Z4" s="31"/>
      <c r="AA4" s="31"/>
      <c r="AB4" s="31"/>
      <c r="AC4" s="31"/>
      <c r="AD4" s="31"/>
      <c r="AE4" s="31"/>
      <c r="AF4" s="118"/>
      <c r="AG4" s="118"/>
      <c r="AH4" s="118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</row>
    <row r="5" spans="1:56" s="229" customFormat="1">
      <c r="A5" s="229" t="str">
        <f>main!A6</f>
        <v>Deployment 02/09/2020 IN2020_V09</v>
      </c>
      <c r="B5" s="229" t="str">
        <f>main!B6</f>
        <v>McLane-PARFLUX-Mark78H-21 ; frame# 12419-01, controller# 12419-01 and Motor # 12419-01 Cup set AAx21</v>
      </c>
      <c r="V5" s="230"/>
      <c r="X5" s="231"/>
    </row>
    <row r="6" spans="1:56">
      <c r="A6">
        <v>2020</v>
      </c>
      <c r="B6" t="s">
        <v>105</v>
      </c>
      <c r="C6" t="s">
        <v>1717</v>
      </c>
      <c r="D6">
        <v>4</v>
      </c>
      <c r="E6">
        <v>10</v>
      </c>
      <c r="F6">
        <v>40.4</v>
      </c>
      <c r="G6">
        <v>200.12</v>
      </c>
      <c r="H6" s="139">
        <v>44357</v>
      </c>
      <c r="I6" s="139">
        <v>44362</v>
      </c>
      <c r="J6" s="139">
        <v>44362</v>
      </c>
      <c r="K6" s="232" t="s">
        <v>1897</v>
      </c>
      <c r="L6" s="139" t="s">
        <v>1898</v>
      </c>
      <c r="M6" s="139">
        <v>44356</v>
      </c>
      <c r="P6" s="52" t="s">
        <v>1863</v>
      </c>
      <c r="Q6" s="52" t="s">
        <v>1885</v>
      </c>
      <c r="R6" t="s">
        <v>40</v>
      </c>
      <c r="S6" s="52" t="s">
        <v>1893</v>
      </c>
      <c r="U6">
        <f>G6-F6</f>
        <v>159.72</v>
      </c>
      <c r="V6" s="230">
        <f>((U6/7)*10)</f>
        <v>228.17142857142858</v>
      </c>
      <c r="W6" s="51">
        <f>U6/7</f>
        <v>22.817142857142859</v>
      </c>
      <c r="X6" s="243"/>
      <c r="Y6">
        <v>14592.11</v>
      </c>
      <c r="Z6" s="28"/>
      <c r="AA6" s="28"/>
      <c r="AB6" s="235"/>
      <c r="AC6" s="236"/>
      <c r="AD6" s="28"/>
      <c r="AE6" s="28"/>
      <c r="AF6" s="28"/>
      <c r="AG6" s="28"/>
      <c r="AH6" s="28"/>
      <c r="AI6" s="28"/>
      <c r="AJ6" s="28"/>
      <c r="AK6" s="28"/>
      <c r="AO6" t="s">
        <v>1867</v>
      </c>
      <c r="AQ6" t="s">
        <v>1868</v>
      </c>
      <c r="AS6" t="s">
        <v>1870</v>
      </c>
    </row>
    <row r="7" spans="1:56">
      <c r="A7">
        <v>2020</v>
      </c>
      <c r="B7" t="s">
        <v>105</v>
      </c>
      <c r="C7">
        <v>2</v>
      </c>
      <c r="D7">
        <v>4</v>
      </c>
      <c r="E7">
        <v>10</v>
      </c>
      <c r="F7">
        <v>39.119999999999997</v>
      </c>
      <c r="G7">
        <v>348.2</v>
      </c>
      <c r="H7" s="139">
        <v>44357</v>
      </c>
      <c r="I7" s="139">
        <v>44362</v>
      </c>
      <c r="J7" s="139">
        <v>44362</v>
      </c>
      <c r="K7" s="232" t="s">
        <v>1897</v>
      </c>
      <c r="L7" s="139" t="s">
        <v>1898</v>
      </c>
      <c r="M7" s="139">
        <v>44356</v>
      </c>
      <c r="P7" s="52" t="s">
        <v>1863</v>
      </c>
      <c r="Q7" s="52" t="s">
        <v>1885</v>
      </c>
      <c r="R7" t="s">
        <v>40</v>
      </c>
      <c r="S7" s="52" t="s">
        <v>1893</v>
      </c>
      <c r="U7">
        <f t="shared" ref="U7:U28" si="0">G7-F7</f>
        <v>309.08</v>
      </c>
      <c r="V7" s="230">
        <f t="shared" ref="V7:V28" si="1">((U7/7)*10)</f>
        <v>441.54285714285714</v>
      </c>
      <c r="W7">
        <f>U7/7</f>
        <v>44.154285714285713</v>
      </c>
      <c r="X7" s="224"/>
      <c r="Y7">
        <v>14519.35</v>
      </c>
      <c r="Z7" s="28"/>
      <c r="AA7" s="28"/>
      <c r="AB7" s="237"/>
      <c r="AC7" s="28"/>
      <c r="AD7" s="28"/>
      <c r="AE7" s="28"/>
      <c r="AF7" s="28"/>
      <c r="AG7" s="28"/>
      <c r="AH7" s="28"/>
      <c r="AI7" s="28"/>
      <c r="AJ7" s="28"/>
      <c r="AK7" s="28"/>
      <c r="AQ7" t="s">
        <v>1869</v>
      </c>
      <c r="AS7" t="s">
        <v>1871</v>
      </c>
    </row>
    <row r="8" spans="1:56">
      <c r="A8">
        <v>2020</v>
      </c>
      <c r="B8" t="s">
        <v>105</v>
      </c>
      <c r="C8">
        <v>3</v>
      </c>
      <c r="D8">
        <v>4</v>
      </c>
      <c r="E8">
        <v>10</v>
      </c>
      <c r="F8">
        <v>40.770000000000003</v>
      </c>
      <c r="G8">
        <v>286.83</v>
      </c>
      <c r="H8" s="139">
        <v>44357</v>
      </c>
      <c r="I8" s="139">
        <v>44362</v>
      </c>
      <c r="J8" s="139">
        <v>44362</v>
      </c>
      <c r="K8" s="232" t="s">
        <v>1897</v>
      </c>
      <c r="L8" s="139" t="s">
        <v>1898</v>
      </c>
      <c r="M8" s="139">
        <v>44356</v>
      </c>
      <c r="P8" s="52" t="s">
        <v>1863</v>
      </c>
      <c r="Q8" s="52" t="s">
        <v>1885</v>
      </c>
      <c r="R8" t="s">
        <v>40</v>
      </c>
      <c r="S8" s="52" t="s">
        <v>1893</v>
      </c>
      <c r="U8">
        <f t="shared" si="0"/>
        <v>246.05999999999997</v>
      </c>
      <c r="V8" s="230">
        <f t="shared" si="1"/>
        <v>351.51428571428568</v>
      </c>
      <c r="W8">
        <f t="shared" ref="W8:W23" si="2">U8/7</f>
        <v>35.151428571428568</v>
      </c>
      <c r="X8" s="224"/>
      <c r="Y8">
        <v>15037.41</v>
      </c>
      <c r="Z8" s="28"/>
      <c r="AA8" s="28"/>
      <c r="AB8" s="237"/>
      <c r="AC8" s="28"/>
      <c r="AD8" s="28"/>
      <c r="AE8" s="28"/>
      <c r="AF8" s="28"/>
      <c r="AG8" s="28"/>
      <c r="AH8" s="235"/>
      <c r="AI8" s="236"/>
      <c r="AJ8" s="28"/>
      <c r="AK8" s="28"/>
      <c r="AO8" t="s">
        <v>1873</v>
      </c>
      <c r="AQ8" t="s">
        <v>1874</v>
      </c>
      <c r="AS8" t="s">
        <v>1875</v>
      </c>
    </row>
    <row r="9" spans="1:56">
      <c r="A9">
        <v>2020</v>
      </c>
      <c r="B9" t="s">
        <v>105</v>
      </c>
      <c r="C9">
        <v>4</v>
      </c>
      <c r="D9">
        <v>4</v>
      </c>
      <c r="E9">
        <v>10</v>
      </c>
      <c r="F9">
        <v>39.909999999999997</v>
      </c>
      <c r="G9">
        <v>313.66000000000003</v>
      </c>
      <c r="H9" s="139">
        <v>44357</v>
      </c>
      <c r="I9" s="139">
        <v>44362</v>
      </c>
      <c r="J9" s="139">
        <v>44362</v>
      </c>
      <c r="K9" s="232" t="s">
        <v>1897</v>
      </c>
      <c r="L9" s="139" t="s">
        <v>1898</v>
      </c>
      <c r="M9" s="139">
        <v>44356</v>
      </c>
      <c r="P9" s="52" t="s">
        <v>1863</v>
      </c>
      <c r="Q9" s="52" t="s">
        <v>1885</v>
      </c>
      <c r="R9" t="s">
        <v>40</v>
      </c>
      <c r="S9" s="52" t="s">
        <v>1893</v>
      </c>
      <c r="U9">
        <f t="shared" si="0"/>
        <v>273.75</v>
      </c>
      <c r="V9" s="230">
        <f t="shared" si="1"/>
        <v>391.07142857142856</v>
      </c>
      <c r="W9">
        <f t="shared" si="2"/>
        <v>39.107142857142854</v>
      </c>
      <c r="X9" s="224"/>
      <c r="Y9">
        <v>15028.77</v>
      </c>
      <c r="Z9" s="28"/>
      <c r="AA9" s="28"/>
      <c r="AB9" s="235"/>
      <c r="AC9" s="236"/>
      <c r="AD9" s="28"/>
      <c r="AE9" s="28"/>
      <c r="AF9" s="28"/>
      <c r="AG9" s="28"/>
      <c r="AH9" s="235"/>
      <c r="AI9" s="236"/>
      <c r="AJ9" s="28"/>
      <c r="AK9" s="28"/>
      <c r="AN9" t="s">
        <v>1872</v>
      </c>
      <c r="AO9">
        <v>9.98</v>
      </c>
      <c r="AQ9">
        <v>10.01</v>
      </c>
      <c r="AS9">
        <v>10.029999999999999</v>
      </c>
    </row>
    <row r="10" spans="1:56">
      <c r="A10">
        <v>2020</v>
      </c>
      <c r="B10" t="s">
        <v>105</v>
      </c>
      <c r="C10">
        <v>5</v>
      </c>
      <c r="D10">
        <v>4</v>
      </c>
      <c r="E10">
        <v>10</v>
      </c>
      <c r="F10">
        <v>41.75</v>
      </c>
      <c r="G10">
        <v>400.11</v>
      </c>
      <c r="H10" s="139">
        <v>44357</v>
      </c>
      <c r="I10" s="139">
        <v>44362</v>
      </c>
      <c r="J10" s="139">
        <v>44362</v>
      </c>
      <c r="K10" s="232" t="s">
        <v>1897</v>
      </c>
      <c r="L10" s="139" t="s">
        <v>1898</v>
      </c>
      <c r="M10" s="139">
        <v>44356</v>
      </c>
      <c r="P10" s="52" t="s">
        <v>1863</v>
      </c>
      <c r="Q10" s="52" t="s">
        <v>1885</v>
      </c>
      <c r="R10" t="s">
        <v>40</v>
      </c>
      <c r="S10" s="52" t="s">
        <v>1893</v>
      </c>
      <c r="U10">
        <f t="shared" si="0"/>
        <v>358.36</v>
      </c>
      <c r="V10" s="230">
        <f t="shared" si="1"/>
        <v>511.94285714285718</v>
      </c>
      <c r="W10">
        <f t="shared" si="2"/>
        <v>51.194285714285719</v>
      </c>
      <c r="X10" s="224"/>
      <c r="Y10">
        <v>15110.2</v>
      </c>
      <c r="AN10" t="s">
        <v>1876</v>
      </c>
      <c r="AO10">
        <v>99.9</v>
      </c>
      <c r="AQ10">
        <v>99.91</v>
      </c>
      <c r="AS10">
        <v>99.95</v>
      </c>
    </row>
    <row r="11" spans="1:56">
      <c r="A11">
        <v>2020</v>
      </c>
      <c r="B11" t="s">
        <v>105</v>
      </c>
      <c r="C11">
        <v>6</v>
      </c>
      <c r="D11">
        <v>4</v>
      </c>
      <c r="E11">
        <v>10</v>
      </c>
      <c r="F11">
        <v>40.340000000000003</v>
      </c>
      <c r="G11">
        <v>348.87</v>
      </c>
      <c r="H11" s="139">
        <v>44357</v>
      </c>
      <c r="I11" s="139">
        <v>44362</v>
      </c>
      <c r="J11" s="139">
        <v>44362</v>
      </c>
      <c r="K11" s="232" t="s">
        <v>1897</v>
      </c>
      <c r="L11" s="139" t="s">
        <v>1898</v>
      </c>
      <c r="M11" s="139">
        <v>44356</v>
      </c>
      <c r="P11" s="52" t="s">
        <v>1863</v>
      </c>
      <c r="Q11" s="52" t="s">
        <v>1885</v>
      </c>
      <c r="R11" t="s">
        <v>40</v>
      </c>
      <c r="S11" s="52" t="s">
        <v>1893</v>
      </c>
      <c r="U11">
        <f t="shared" si="0"/>
        <v>308.52999999999997</v>
      </c>
      <c r="V11" s="230">
        <f t="shared" si="1"/>
        <v>440.75714285714287</v>
      </c>
      <c r="W11">
        <f t="shared" si="2"/>
        <v>44.075714285714284</v>
      </c>
      <c r="X11" s="224"/>
      <c r="Y11">
        <v>15010.02</v>
      </c>
      <c r="AN11" t="s">
        <v>1877</v>
      </c>
      <c r="AO11">
        <v>200</v>
      </c>
      <c r="AQ11">
        <v>200.03</v>
      </c>
      <c r="AS11">
        <v>200.04</v>
      </c>
    </row>
    <row r="12" spans="1:56">
      <c r="A12">
        <v>2020</v>
      </c>
      <c r="B12" t="s">
        <v>105</v>
      </c>
      <c r="C12">
        <v>7</v>
      </c>
      <c r="D12">
        <v>4</v>
      </c>
      <c r="E12">
        <v>10</v>
      </c>
      <c r="F12">
        <v>41.37</v>
      </c>
      <c r="G12">
        <v>237.66</v>
      </c>
      <c r="H12" s="139">
        <v>44357</v>
      </c>
      <c r="I12" s="139">
        <v>44362</v>
      </c>
      <c r="J12" s="139">
        <v>44362</v>
      </c>
      <c r="K12" s="232" t="s">
        <v>1897</v>
      </c>
      <c r="L12" s="139" t="s">
        <v>1898</v>
      </c>
      <c r="M12" s="139">
        <v>44356</v>
      </c>
      <c r="P12" s="52" t="s">
        <v>1863</v>
      </c>
      <c r="Q12" s="52" t="s">
        <v>1885</v>
      </c>
      <c r="R12" t="s">
        <v>40</v>
      </c>
      <c r="S12" s="52" t="s">
        <v>1893</v>
      </c>
      <c r="U12">
        <f t="shared" si="0"/>
        <v>196.29</v>
      </c>
      <c r="V12" s="230">
        <f t="shared" si="1"/>
        <v>280.41428571428571</v>
      </c>
      <c r="W12">
        <f t="shared" si="2"/>
        <v>28.041428571428572</v>
      </c>
      <c r="X12" s="224"/>
      <c r="Y12">
        <v>14604.54</v>
      </c>
      <c r="AN12" t="s">
        <v>1878</v>
      </c>
      <c r="AO12">
        <v>500.03</v>
      </c>
      <c r="AQ12">
        <v>500.05</v>
      </c>
      <c r="AS12">
        <v>500.07</v>
      </c>
    </row>
    <row r="13" spans="1:56">
      <c r="A13">
        <v>2020</v>
      </c>
      <c r="B13" t="s">
        <v>105</v>
      </c>
      <c r="C13">
        <v>8</v>
      </c>
      <c r="D13">
        <v>4</v>
      </c>
      <c r="E13">
        <v>10</v>
      </c>
      <c r="F13">
        <v>41.26</v>
      </c>
      <c r="G13">
        <v>258.94</v>
      </c>
      <c r="H13" s="139">
        <v>44357</v>
      </c>
      <c r="I13" s="139">
        <v>44362</v>
      </c>
      <c r="J13" s="139">
        <v>44362</v>
      </c>
      <c r="K13" s="232" t="s">
        <v>1897</v>
      </c>
      <c r="L13" s="139" t="s">
        <v>1898</v>
      </c>
      <c r="M13" s="139">
        <v>44356</v>
      </c>
      <c r="P13" s="52" t="s">
        <v>1863</v>
      </c>
      <c r="Q13" s="52" t="s">
        <v>1885</v>
      </c>
      <c r="R13" t="s">
        <v>40</v>
      </c>
      <c r="S13" s="52" t="s">
        <v>1893</v>
      </c>
      <c r="U13">
        <f t="shared" si="0"/>
        <v>217.68</v>
      </c>
      <c r="V13" s="230">
        <f t="shared" si="1"/>
        <v>310.97142857142859</v>
      </c>
      <c r="W13">
        <f t="shared" si="2"/>
        <v>31.09714285714286</v>
      </c>
      <c r="X13" s="224"/>
      <c r="Y13">
        <v>15055.42</v>
      </c>
      <c r="AN13" t="s">
        <v>1879</v>
      </c>
      <c r="AO13">
        <v>1000.06</v>
      </c>
      <c r="AQ13">
        <v>1000.08</v>
      </c>
      <c r="AS13">
        <v>1000.1</v>
      </c>
    </row>
    <row r="14" spans="1:56">
      <c r="A14">
        <v>2020</v>
      </c>
      <c r="B14" t="s">
        <v>105</v>
      </c>
      <c r="C14">
        <v>9</v>
      </c>
      <c r="D14">
        <v>4</v>
      </c>
      <c r="E14">
        <v>10</v>
      </c>
      <c r="F14">
        <v>41.7</v>
      </c>
      <c r="G14">
        <v>116.95</v>
      </c>
      <c r="H14" s="139">
        <v>44357</v>
      </c>
      <c r="I14" s="139">
        <v>44362</v>
      </c>
      <c r="J14" s="139">
        <v>44362</v>
      </c>
      <c r="K14" s="232" t="s">
        <v>1897</v>
      </c>
      <c r="L14" s="139" t="s">
        <v>1898</v>
      </c>
      <c r="M14" s="139">
        <v>44356</v>
      </c>
      <c r="P14" s="52" t="s">
        <v>1863</v>
      </c>
      <c r="Q14" s="52" t="s">
        <v>1885</v>
      </c>
      <c r="R14" t="s">
        <v>40</v>
      </c>
      <c r="S14" s="52" t="s">
        <v>1893</v>
      </c>
      <c r="U14">
        <f t="shared" si="0"/>
        <v>75.25</v>
      </c>
      <c r="V14" s="230">
        <f t="shared" si="1"/>
        <v>107.5</v>
      </c>
      <c r="W14">
        <f t="shared" si="2"/>
        <v>10.75</v>
      </c>
      <c r="X14" s="224"/>
      <c r="Y14">
        <v>15048.03</v>
      </c>
      <c r="AN14" t="s">
        <v>1880</v>
      </c>
      <c r="AO14">
        <v>10000.19</v>
      </c>
      <c r="AQ14">
        <v>10000.200000000001</v>
      </c>
      <c r="AS14">
        <v>10000.209999999999</v>
      </c>
    </row>
    <row r="15" spans="1:56">
      <c r="A15">
        <v>2020</v>
      </c>
      <c r="B15" t="s">
        <v>105</v>
      </c>
      <c r="C15">
        <v>10</v>
      </c>
      <c r="D15">
        <v>4</v>
      </c>
      <c r="E15">
        <v>10</v>
      </c>
      <c r="F15">
        <v>40.64</v>
      </c>
      <c r="G15">
        <v>187.41</v>
      </c>
      <c r="H15" s="139">
        <v>44357</v>
      </c>
      <c r="I15" s="139">
        <v>44362</v>
      </c>
      <c r="J15" s="139">
        <v>44362</v>
      </c>
      <c r="K15" s="232" t="s">
        <v>1897</v>
      </c>
      <c r="L15" s="139" t="s">
        <v>1898</v>
      </c>
      <c r="M15" s="139">
        <v>44356</v>
      </c>
      <c r="P15" s="52" t="s">
        <v>1863</v>
      </c>
      <c r="Q15" s="52" t="s">
        <v>1885</v>
      </c>
      <c r="R15" t="s">
        <v>40</v>
      </c>
      <c r="S15" s="52" t="s">
        <v>1893</v>
      </c>
      <c r="U15">
        <f t="shared" si="0"/>
        <v>146.76999999999998</v>
      </c>
      <c r="V15" s="230">
        <f t="shared" si="1"/>
        <v>209.67142857142852</v>
      </c>
      <c r="W15">
        <f t="shared" si="2"/>
        <v>20.967142857142854</v>
      </c>
      <c r="X15" s="224"/>
      <c r="Y15">
        <v>14950.21</v>
      </c>
      <c r="AN15" t="s">
        <v>1881</v>
      </c>
      <c r="AO15">
        <v>50001.2</v>
      </c>
      <c r="AQ15">
        <v>50001.01</v>
      </c>
      <c r="AS15">
        <v>50001.08</v>
      </c>
    </row>
    <row r="16" spans="1:56">
      <c r="A16">
        <v>2020</v>
      </c>
      <c r="B16" t="s">
        <v>105</v>
      </c>
      <c r="C16" t="s">
        <v>1888</v>
      </c>
      <c r="D16">
        <v>4</v>
      </c>
      <c r="E16">
        <v>8</v>
      </c>
      <c r="F16">
        <v>39.85</v>
      </c>
      <c r="G16">
        <v>176.65</v>
      </c>
      <c r="H16" s="139">
        <v>44357</v>
      </c>
      <c r="I16" s="139">
        <v>44362</v>
      </c>
      <c r="J16" s="139">
        <v>44362</v>
      </c>
      <c r="K16" s="232" t="s">
        <v>1897</v>
      </c>
      <c r="L16" s="139" t="s">
        <v>1898</v>
      </c>
      <c r="M16" s="139">
        <v>44356</v>
      </c>
      <c r="P16" s="52" t="s">
        <v>1863</v>
      </c>
      <c r="Q16" s="52" t="s">
        <v>1885</v>
      </c>
      <c r="R16" t="s">
        <v>40</v>
      </c>
      <c r="S16" s="52" t="s">
        <v>1894</v>
      </c>
      <c r="U16">
        <f t="shared" si="0"/>
        <v>136.80000000000001</v>
      </c>
      <c r="V16" s="230">
        <f>((U16+U17)/7)*10</f>
        <v>300.1571428571429</v>
      </c>
      <c r="W16" s="233">
        <f>U16/5</f>
        <v>27.360000000000003</v>
      </c>
      <c r="X16" s="246">
        <f>ABS(W16-W17)</f>
        <v>9.2949999999999982</v>
      </c>
      <c r="Y16">
        <v>14615.85</v>
      </c>
    </row>
    <row r="17" spans="1:35">
      <c r="A17">
        <v>2020</v>
      </c>
      <c r="B17" t="s">
        <v>105</v>
      </c>
      <c r="C17" t="s">
        <v>1887</v>
      </c>
      <c r="D17">
        <v>9</v>
      </c>
      <c r="E17">
        <v>10</v>
      </c>
      <c r="F17">
        <v>39.979999999999997</v>
      </c>
      <c r="G17">
        <v>113.29</v>
      </c>
      <c r="H17" s="139">
        <v>44357</v>
      </c>
      <c r="I17" s="139">
        <v>44362</v>
      </c>
      <c r="J17" s="139">
        <v>44362</v>
      </c>
      <c r="K17" s="232" t="s">
        <v>1897</v>
      </c>
      <c r="L17" s="139" t="s">
        <v>1898</v>
      </c>
      <c r="M17" s="139">
        <v>44356</v>
      </c>
      <c r="P17" s="52" t="s">
        <v>1863</v>
      </c>
      <c r="Q17" s="52" t="s">
        <v>1885</v>
      </c>
      <c r="R17" t="s">
        <v>40</v>
      </c>
      <c r="S17" s="52" t="s">
        <v>1894</v>
      </c>
      <c r="U17">
        <f t="shared" si="0"/>
        <v>73.31</v>
      </c>
      <c r="W17" s="233">
        <f>U17/2</f>
        <v>36.655000000000001</v>
      </c>
      <c r="X17" s="247">
        <f>X16/SUM(U16,U17)</f>
        <v>4.4238732092713326E-2</v>
      </c>
    </row>
    <row r="18" spans="1:35">
      <c r="A18">
        <v>2020</v>
      </c>
      <c r="B18" t="s">
        <v>105</v>
      </c>
      <c r="C18" t="s">
        <v>1886</v>
      </c>
      <c r="D18">
        <v>4</v>
      </c>
      <c r="E18">
        <v>8</v>
      </c>
      <c r="F18">
        <v>39.81</v>
      </c>
      <c r="G18">
        <v>295.77</v>
      </c>
      <c r="H18" s="139">
        <v>44357</v>
      </c>
      <c r="I18" s="139">
        <v>44362</v>
      </c>
      <c r="J18" s="139">
        <v>44362</v>
      </c>
      <c r="K18" s="232" t="s">
        <v>1897</v>
      </c>
      <c r="L18" s="139" t="s">
        <v>1898</v>
      </c>
      <c r="M18" s="139">
        <v>44356</v>
      </c>
      <c r="P18" s="52" t="s">
        <v>1863</v>
      </c>
      <c r="Q18" s="52" t="s">
        <v>1885</v>
      </c>
      <c r="R18" t="s">
        <v>40</v>
      </c>
      <c r="S18" s="52" t="s">
        <v>1894</v>
      </c>
      <c r="U18">
        <f t="shared" si="0"/>
        <v>255.95999999999998</v>
      </c>
      <c r="V18" s="230">
        <f>((U18+U19)/7)*10</f>
        <v>515.82857142857142</v>
      </c>
      <c r="W18" s="233">
        <f>U18/5</f>
        <v>51.191999999999993</v>
      </c>
      <c r="X18" s="246">
        <f>ABS(W18-W19)</f>
        <v>1.3680000000000092</v>
      </c>
      <c r="Y18">
        <v>14702.27</v>
      </c>
    </row>
    <row r="19" spans="1:35">
      <c r="A19">
        <v>2020</v>
      </c>
      <c r="B19" t="s">
        <v>105</v>
      </c>
      <c r="C19" t="s">
        <v>1889</v>
      </c>
      <c r="D19">
        <v>9</v>
      </c>
      <c r="E19">
        <v>10</v>
      </c>
      <c r="F19">
        <v>40.71</v>
      </c>
      <c r="G19">
        <v>145.83000000000001</v>
      </c>
      <c r="H19" s="139">
        <v>44357</v>
      </c>
      <c r="I19" s="139">
        <v>44362</v>
      </c>
      <c r="J19" s="139">
        <v>44362</v>
      </c>
      <c r="K19" s="232" t="s">
        <v>1897</v>
      </c>
      <c r="L19" s="139" t="s">
        <v>1898</v>
      </c>
      <c r="M19" s="139">
        <v>44356</v>
      </c>
      <c r="P19" s="52" t="s">
        <v>1863</v>
      </c>
      <c r="Q19" s="52" t="s">
        <v>1885</v>
      </c>
      <c r="R19" t="s">
        <v>40</v>
      </c>
      <c r="S19" s="52" t="s">
        <v>1894</v>
      </c>
      <c r="U19">
        <f t="shared" si="0"/>
        <v>105.12</v>
      </c>
      <c r="W19" s="233">
        <f>U19/2</f>
        <v>52.56</v>
      </c>
      <c r="X19" s="247">
        <f>X18/SUM(U18,U19)</f>
        <v>3.788634097706905E-3</v>
      </c>
    </row>
    <row r="20" spans="1:35">
      <c r="A20">
        <v>2020</v>
      </c>
      <c r="B20" t="s">
        <v>105</v>
      </c>
      <c r="C20" t="s">
        <v>1890</v>
      </c>
      <c r="D20">
        <v>4</v>
      </c>
      <c r="E20">
        <v>7</v>
      </c>
      <c r="F20">
        <v>40.75</v>
      </c>
      <c r="G20">
        <v>318.79000000000002</v>
      </c>
      <c r="H20" s="139">
        <v>44357</v>
      </c>
      <c r="I20" s="139">
        <v>44362</v>
      </c>
      <c r="J20" s="139">
        <v>44362</v>
      </c>
      <c r="K20" s="232" t="s">
        <v>1897</v>
      </c>
      <c r="L20" s="139" t="s">
        <v>1898</v>
      </c>
      <c r="M20" s="139">
        <v>44356</v>
      </c>
      <c r="P20" s="52" t="s">
        <v>1863</v>
      </c>
      <c r="Q20" s="52" t="s">
        <v>1885</v>
      </c>
      <c r="R20" t="s">
        <v>40</v>
      </c>
      <c r="S20" s="52" t="s">
        <v>1894</v>
      </c>
      <c r="U20">
        <f t="shared" si="0"/>
        <v>278.04000000000002</v>
      </c>
      <c r="V20" s="230">
        <f>((U20+U21)/7)*10</f>
        <v>671.31428571428569</v>
      </c>
      <c r="W20" s="233">
        <f>U20/4</f>
        <v>69.510000000000005</v>
      </c>
      <c r="X20" s="246">
        <f>ABS(W20-W21)</f>
        <v>5.5500000000000043</v>
      </c>
      <c r="Y20">
        <v>14582.93</v>
      </c>
    </row>
    <row r="21" spans="1:35">
      <c r="A21">
        <v>2020</v>
      </c>
      <c r="B21" t="s">
        <v>105</v>
      </c>
      <c r="C21" t="s">
        <v>1891</v>
      </c>
      <c r="D21">
        <v>8</v>
      </c>
      <c r="E21">
        <v>10</v>
      </c>
      <c r="F21">
        <v>39.200000000000003</v>
      </c>
      <c r="G21">
        <v>231.08</v>
      </c>
      <c r="H21" s="139">
        <v>44357</v>
      </c>
      <c r="I21" s="139">
        <v>44362</v>
      </c>
      <c r="J21" s="139">
        <v>44362</v>
      </c>
      <c r="K21" s="232" t="s">
        <v>1897</v>
      </c>
      <c r="L21" s="139" t="s">
        <v>1898</v>
      </c>
      <c r="M21" s="139">
        <v>44356</v>
      </c>
      <c r="P21" s="52" t="s">
        <v>1863</v>
      </c>
      <c r="Q21" s="52" t="s">
        <v>1885</v>
      </c>
      <c r="R21" t="s">
        <v>40</v>
      </c>
      <c r="S21" s="52" t="s">
        <v>1894</v>
      </c>
      <c r="U21">
        <f t="shared" si="0"/>
        <v>191.88</v>
      </c>
      <c r="W21" s="233">
        <f>U21/3</f>
        <v>63.96</v>
      </c>
      <c r="X21" s="247">
        <f>X20/SUM(U20,U21)</f>
        <v>1.1810520939734432E-2</v>
      </c>
    </row>
    <row r="22" spans="1:35">
      <c r="A22">
        <v>2020</v>
      </c>
      <c r="B22" t="s">
        <v>105</v>
      </c>
      <c r="C22">
        <v>14</v>
      </c>
      <c r="D22">
        <v>4</v>
      </c>
      <c r="E22">
        <v>10</v>
      </c>
      <c r="F22">
        <v>39.880000000000003</v>
      </c>
      <c r="G22">
        <v>287.87</v>
      </c>
      <c r="H22" s="139">
        <v>44357</v>
      </c>
      <c r="I22" s="139">
        <v>44362</v>
      </c>
      <c r="J22" s="139">
        <v>44362</v>
      </c>
      <c r="K22" s="232" t="s">
        <v>1897</v>
      </c>
      <c r="L22" s="139" t="s">
        <v>1898</v>
      </c>
      <c r="M22" s="139">
        <v>44356</v>
      </c>
      <c r="P22" s="52" t="s">
        <v>1863</v>
      </c>
      <c r="Q22" s="52" t="s">
        <v>1885</v>
      </c>
      <c r="R22" t="s">
        <v>40</v>
      </c>
      <c r="S22" s="52" t="s">
        <v>1894</v>
      </c>
      <c r="U22">
        <f t="shared" si="0"/>
        <v>247.99</v>
      </c>
      <c r="V22" s="230">
        <f>((U22/7)*10)</f>
        <v>354.2714285714286</v>
      </c>
      <c r="W22" s="51">
        <f>U22/7</f>
        <v>35.427142857142861</v>
      </c>
      <c r="X22" s="243"/>
      <c r="Y22">
        <v>15051.97</v>
      </c>
    </row>
    <row r="23" spans="1:35">
      <c r="A23">
        <v>2020</v>
      </c>
      <c r="B23" t="s">
        <v>105</v>
      </c>
      <c r="C23">
        <v>15</v>
      </c>
      <c r="D23">
        <v>4</v>
      </c>
      <c r="E23">
        <v>10</v>
      </c>
      <c r="F23">
        <v>40.39</v>
      </c>
      <c r="G23">
        <v>158.68</v>
      </c>
      <c r="H23" s="139">
        <v>44357</v>
      </c>
      <c r="I23" s="139">
        <v>44362</v>
      </c>
      <c r="J23" s="139">
        <v>44362</v>
      </c>
      <c r="K23" s="232" t="s">
        <v>1897</v>
      </c>
      <c r="L23" s="139" t="s">
        <v>1898</v>
      </c>
      <c r="M23" s="139">
        <v>44356</v>
      </c>
      <c r="P23" s="52" t="s">
        <v>1863</v>
      </c>
      <c r="Q23" s="52" t="s">
        <v>1885</v>
      </c>
      <c r="R23" t="s">
        <v>40</v>
      </c>
      <c r="S23" s="52" t="s">
        <v>1894</v>
      </c>
      <c r="U23">
        <f t="shared" si="0"/>
        <v>118.29</v>
      </c>
      <c r="V23" s="230">
        <f t="shared" si="1"/>
        <v>168.98571428571429</v>
      </c>
      <c r="W23" s="51">
        <f t="shared" si="2"/>
        <v>16.898571428571429</v>
      </c>
      <c r="X23" s="244"/>
      <c r="Y23">
        <v>14962.51</v>
      </c>
    </row>
    <row r="24" spans="1:35" s="28" customFormat="1">
      <c r="A24" s="28">
        <v>2020</v>
      </c>
      <c r="B24" s="28" t="s">
        <v>105</v>
      </c>
      <c r="C24" s="28" t="s">
        <v>1892</v>
      </c>
      <c r="D24" s="28">
        <v>4</v>
      </c>
      <c r="E24" s="28">
        <v>10</v>
      </c>
      <c r="F24" s="28">
        <v>40.130000000000003</v>
      </c>
      <c r="G24">
        <v>216.76</v>
      </c>
      <c r="H24" s="236">
        <v>44357</v>
      </c>
      <c r="I24" s="139">
        <v>44362</v>
      </c>
      <c r="J24" s="139">
        <v>44362</v>
      </c>
      <c r="K24" s="232" t="s">
        <v>1897</v>
      </c>
      <c r="L24" s="139" t="s">
        <v>1898</v>
      </c>
      <c r="M24" s="139">
        <v>44356</v>
      </c>
      <c r="P24" s="52" t="s">
        <v>1863</v>
      </c>
      <c r="Q24" s="52" t="s">
        <v>1885</v>
      </c>
      <c r="R24" s="28" t="s">
        <v>40</v>
      </c>
      <c r="S24" s="28" t="s">
        <v>1894</v>
      </c>
      <c r="U24" s="28">
        <f t="shared" si="0"/>
        <v>176.63</v>
      </c>
      <c r="V24" s="242">
        <f>((U24/14)*20)</f>
        <v>252.32857142857142</v>
      </c>
      <c r="W24" s="54">
        <f>U24/14</f>
        <v>12.616428571428571</v>
      </c>
      <c r="X24" s="186"/>
      <c r="Y24">
        <v>14978.03</v>
      </c>
      <c r="AB24" s="235"/>
      <c r="AC24" s="236"/>
      <c r="AH24" s="235"/>
      <c r="AI24" s="236"/>
    </row>
    <row r="25" spans="1:35">
      <c r="A25">
        <v>2020</v>
      </c>
      <c r="B25" t="s">
        <v>105</v>
      </c>
      <c r="C25">
        <v>18</v>
      </c>
      <c r="D25">
        <v>4</v>
      </c>
      <c r="E25">
        <v>10</v>
      </c>
      <c r="F25">
        <v>41.22</v>
      </c>
      <c r="G25">
        <v>92.54</v>
      </c>
      <c r="H25" s="139">
        <v>44357</v>
      </c>
      <c r="I25" s="139">
        <v>44362</v>
      </c>
      <c r="J25" s="139">
        <v>44362</v>
      </c>
      <c r="K25" s="232" t="s">
        <v>1897</v>
      </c>
      <c r="L25" s="139" t="s">
        <v>1898</v>
      </c>
      <c r="M25" s="139">
        <v>44356</v>
      </c>
      <c r="P25" s="52" t="s">
        <v>1863</v>
      </c>
      <c r="Q25" s="52" t="s">
        <v>1885</v>
      </c>
      <c r="R25" t="s">
        <v>40</v>
      </c>
      <c r="S25" s="52" t="s">
        <v>1894</v>
      </c>
      <c r="U25">
        <f t="shared" si="0"/>
        <v>51.320000000000007</v>
      </c>
      <c r="V25" s="230">
        <f t="shared" si="1"/>
        <v>73.314285714285731</v>
      </c>
      <c r="W25" s="51">
        <f>U25/7</f>
        <v>7.3314285714285727</v>
      </c>
      <c r="X25" s="243"/>
      <c r="Y25">
        <v>14556.64</v>
      </c>
    </row>
    <row r="26" spans="1:35">
      <c r="A26">
        <v>2020</v>
      </c>
      <c r="B26" t="s">
        <v>105</v>
      </c>
      <c r="C26">
        <v>19</v>
      </c>
      <c r="D26">
        <v>4</v>
      </c>
      <c r="E26">
        <v>10</v>
      </c>
      <c r="F26">
        <v>41.7</v>
      </c>
      <c r="G26">
        <v>122.87</v>
      </c>
      <c r="H26" s="139">
        <v>44357</v>
      </c>
      <c r="I26" s="139">
        <v>44362</v>
      </c>
      <c r="J26" s="139">
        <v>44362</v>
      </c>
      <c r="K26" s="232" t="s">
        <v>1897</v>
      </c>
      <c r="L26" s="139" t="s">
        <v>1898</v>
      </c>
      <c r="M26" s="139">
        <v>44356</v>
      </c>
      <c r="P26" s="52" t="s">
        <v>1863</v>
      </c>
      <c r="Q26" s="52" t="s">
        <v>1885</v>
      </c>
      <c r="R26" t="s">
        <v>40</v>
      </c>
      <c r="S26" s="52" t="s">
        <v>1894</v>
      </c>
      <c r="U26">
        <f>G26-F26</f>
        <v>81.17</v>
      </c>
      <c r="V26" s="230">
        <f t="shared" si="1"/>
        <v>115.95714285714286</v>
      </c>
      <c r="W26" s="51">
        <f>U26/7</f>
        <v>11.595714285714285</v>
      </c>
      <c r="X26" s="243"/>
      <c r="Y26">
        <v>15087.13</v>
      </c>
    </row>
    <row r="27" spans="1:35">
      <c r="A27">
        <v>2020</v>
      </c>
      <c r="B27" t="s">
        <v>105</v>
      </c>
      <c r="C27">
        <v>20</v>
      </c>
      <c r="D27">
        <v>4</v>
      </c>
      <c r="E27">
        <v>10</v>
      </c>
      <c r="F27">
        <v>40.770000000000003</v>
      </c>
      <c r="G27">
        <v>147.16999999999999</v>
      </c>
      <c r="H27" s="139">
        <v>44357</v>
      </c>
      <c r="I27" s="139">
        <v>44362</v>
      </c>
      <c r="J27" s="139">
        <v>44362</v>
      </c>
      <c r="K27" s="232" t="s">
        <v>1897</v>
      </c>
      <c r="L27" s="139" t="s">
        <v>1898</v>
      </c>
      <c r="M27" s="139">
        <v>44356</v>
      </c>
      <c r="P27" s="52" t="s">
        <v>1863</v>
      </c>
      <c r="Q27" s="52" t="s">
        <v>1885</v>
      </c>
      <c r="R27" t="s">
        <v>40</v>
      </c>
      <c r="S27" s="52" t="s">
        <v>1895</v>
      </c>
      <c r="U27">
        <f t="shared" si="0"/>
        <v>106.39999999999998</v>
      </c>
      <c r="V27" s="230">
        <f t="shared" si="1"/>
        <v>151.99999999999997</v>
      </c>
      <c r="W27" s="51">
        <f>U27/7</f>
        <v>15.199999999999998</v>
      </c>
      <c r="X27" s="243"/>
      <c r="Y27" s="28">
        <v>15050.39</v>
      </c>
    </row>
    <row r="28" spans="1:35">
      <c r="A28">
        <v>2020</v>
      </c>
      <c r="B28" t="s">
        <v>105</v>
      </c>
      <c r="C28">
        <v>21</v>
      </c>
      <c r="D28">
        <v>4</v>
      </c>
      <c r="E28">
        <v>10</v>
      </c>
      <c r="F28">
        <v>40.1</v>
      </c>
      <c r="G28">
        <v>158.72</v>
      </c>
      <c r="H28" s="139">
        <v>44357</v>
      </c>
      <c r="I28" s="139">
        <v>44362</v>
      </c>
      <c r="J28" s="139">
        <v>44362</v>
      </c>
      <c r="K28" s="232" t="s">
        <v>1897</v>
      </c>
      <c r="L28" s="139" t="s">
        <v>1898</v>
      </c>
      <c r="M28" s="139">
        <v>44356</v>
      </c>
      <c r="P28" s="52" t="s">
        <v>1863</v>
      </c>
      <c r="Q28" s="52" t="s">
        <v>1885</v>
      </c>
      <c r="R28" t="s">
        <v>40</v>
      </c>
      <c r="S28" s="52" t="s">
        <v>1895</v>
      </c>
      <c r="U28">
        <f t="shared" si="0"/>
        <v>118.62</v>
      </c>
      <c r="V28" s="230">
        <f t="shared" si="1"/>
        <v>169.45714285714286</v>
      </c>
      <c r="W28" s="51">
        <f>U28/7</f>
        <v>16.945714285714285</v>
      </c>
      <c r="X28" s="243"/>
      <c r="Y28">
        <v>15101.9</v>
      </c>
    </row>
    <row r="30" spans="1:35" s="229" customFormat="1">
      <c r="A30" s="229" t="str">
        <f>main!A30</f>
        <v>Deployment 02/09/2020 IN2020_V09</v>
      </c>
      <c r="B30" s="229" t="str">
        <f>main!B30</f>
        <v>McLane-PARFLUX-Mark78H-21 ; frame# 12419-02, controller# 12419-02 and motor# 12419-02 Cup set ABx21</v>
      </c>
      <c r="V30" s="230"/>
      <c r="X30" s="231"/>
    </row>
    <row r="31" spans="1:35">
      <c r="A31">
        <v>2020</v>
      </c>
      <c r="B31" t="s">
        <v>108</v>
      </c>
      <c r="C31" t="s">
        <v>1715</v>
      </c>
      <c r="D31">
        <v>4</v>
      </c>
      <c r="E31">
        <v>10</v>
      </c>
      <c r="F31">
        <v>40.47</v>
      </c>
      <c r="G31">
        <v>167.85</v>
      </c>
      <c r="H31" s="139">
        <v>44365</v>
      </c>
      <c r="I31" s="139">
        <v>44368</v>
      </c>
      <c r="J31" s="139">
        <v>44368</v>
      </c>
      <c r="K31" s="232" t="s">
        <v>1904</v>
      </c>
      <c r="L31" s="139" t="s">
        <v>1905</v>
      </c>
      <c r="M31" s="139">
        <v>44362</v>
      </c>
      <c r="N31" s="232" t="s">
        <v>1897</v>
      </c>
      <c r="O31" s="139" t="s">
        <v>1898</v>
      </c>
      <c r="P31" s="52" t="s">
        <v>1863</v>
      </c>
      <c r="Q31" s="52" t="s">
        <v>1885</v>
      </c>
      <c r="S31" s="52" t="s">
        <v>1902</v>
      </c>
      <c r="U31">
        <f t="shared" ref="U31:U42" si="3">G31-F31</f>
        <v>127.38</v>
      </c>
      <c r="V31" s="230">
        <f>((U31/7)*10)</f>
        <v>181.97142857142859</v>
      </c>
      <c r="W31" s="51">
        <f t="shared" ref="W31:W40" si="4">U31/7</f>
        <v>18.197142857142858</v>
      </c>
      <c r="X31" s="243"/>
      <c r="Y31">
        <v>14501.32</v>
      </c>
    </row>
    <row r="32" spans="1:35">
      <c r="A32">
        <v>2020</v>
      </c>
      <c r="B32" t="s">
        <v>108</v>
      </c>
      <c r="C32">
        <v>2</v>
      </c>
      <c r="D32">
        <v>4</v>
      </c>
      <c r="E32">
        <v>10</v>
      </c>
      <c r="F32">
        <v>39.61</v>
      </c>
      <c r="G32">
        <v>241.05</v>
      </c>
      <c r="H32" s="139">
        <v>44365</v>
      </c>
      <c r="I32" s="139">
        <v>44368</v>
      </c>
      <c r="J32" s="139">
        <v>44368</v>
      </c>
      <c r="K32" s="232" t="s">
        <v>1904</v>
      </c>
      <c r="L32" s="139" t="s">
        <v>1905</v>
      </c>
      <c r="M32" s="139">
        <v>44362</v>
      </c>
      <c r="N32" s="232" t="s">
        <v>1897</v>
      </c>
      <c r="O32" s="139" t="s">
        <v>1898</v>
      </c>
      <c r="P32" s="52" t="s">
        <v>1863</v>
      </c>
      <c r="Q32" s="52" t="s">
        <v>1885</v>
      </c>
      <c r="S32" s="52" t="s">
        <v>1902</v>
      </c>
      <c r="U32">
        <f t="shared" si="3"/>
        <v>201.44</v>
      </c>
      <c r="V32" s="230">
        <f t="shared" ref="V32:V40" si="5">((U32/7)*10)</f>
        <v>287.77142857142854</v>
      </c>
      <c r="W32" s="51">
        <f t="shared" si="4"/>
        <v>28.777142857142856</v>
      </c>
      <c r="X32" s="234"/>
      <c r="Y32">
        <v>15019.68</v>
      </c>
    </row>
    <row r="33" spans="1:25">
      <c r="A33">
        <v>2020</v>
      </c>
      <c r="B33" t="s">
        <v>108</v>
      </c>
      <c r="C33">
        <v>3</v>
      </c>
      <c r="D33">
        <v>4</v>
      </c>
      <c r="E33">
        <v>10</v>
      </c>
      <c r="F33">
        <v>40.44</v>
      </c>
      <c r="G33">
        <v>225.11</v>
      </c>
      <c r="H33" s="139">
        <v>44365</v>
      </c>
      <c r="I33" s="139">
        <v>44368</v>
      </c>
      <c r="J33" s="139">
        <v>44368</v>
      </c>
      <c r="K33" s="232" t="s">
        <v>1904</v>
      </c>
      <c r="L33" s="139" t="s">
        <v>1905</v>
      </c>
      <c r="M33" s="139">
        <v>44362</v>
      </c>
      <c r="N33" s="232" t="s">
        <v>1897</v>
      </c>
      <c r="O33" s="139" t="s">
        <v>1898</v>
      </c>
      <c r="P33" s="52" t="s">
        <v>1863</v>
      </c>
      <c r="Q33" s="52" t="s">
        <v>1885</v>
      </c>
      <c r="S33" s="52" t="s">
        <v>1902</v>
      </c>
      <c r="U33">
        <f t="shared" si="3"/>
        <v>184.67000000000002</v>
      </c>
      <c r="V33" s="230">
        <f t="shared" si="5"/>
        <v>263.81428571428575</v>
      </c>
      <c r="W33" s="51">
        <f t="shared" si="4"/>
        <v>26.381428571428575</v>
      </c>
      <c r="X33" s="89"/>
      <c r="Y33">
        <v>14561.83</v>
      </c>
    </row>
    <row r="34" spans="1:25">
      <c r="A34">
        <v>2020</v>
      </c>
      <c r="B34" t="s">
        <v>108</v>
      </c>
      <c r="C34">
        <v>4</v>
      </c>
      <c r="D34">
        <v>4</v>
      </c>
      <c r="E34">
        <v>10</v>
      </c>
      <c r="F34">
        <v>41.38</v>
      </c>
      <c r="G34">
        <v>302.85000000000002</v>
      </c>
      <c r="H34" s="139">
        <v>44365</v>
      </c>
      <c r="I34" s="139">
        <v>44368</v>
      </c>
      <c r="J34" s="139">
        <v>44368</v>
      </c>
      <c r="K34" s="232" t="s">
        <v>1904</v>
      </c>
      <c r="L34" s="139" t="s">
        <v>1905</v>
      </c>
      <c r="M34" s="139">
        <v>44362</v>
      </c>
      <c r="N34" s="232" t="s">
        <v>1897</v>
      </c>
      <c r="O34" s="139" t="s">
        <v>1898</v>
      </c>
      <c r="P34" s="52" t="s">
        <v>1863</v>
      </c>
      <c r="Q34" s="52" t="s">
        <v>1885</v>
      </c>
      <c r="S34" s="52" t="s">
        <v>1902</v>
      </c>
      <c r="U34">
        <f t="shared" si="3"/>
        <v>261.47000000000003</v>
      </c>
      <c r="V34" s="230">
        <f t="shared" si="5"/>
        <v>373.52857142857147</v>
      </c>
      <c r="W34" s="51">
        <f t="shared" si="4"/>
        <v>37.352857142857147</v>
      </c>
      <c r="X34" s="89"/>
      <c r="Y34">
        <v>14554.05</v>
      </c>
    </row>
    <row r="35" spans="1:25">
      <c r="A35">
        <v>2020</v>
      </c>
      <c r="B35" t="s">
        <v>108</v>
      </c>
      <c r="C35">
        <v>5</v>
      </c>
      <c r="D35">
        <v>4</v>
      </c>
      <c r="E35">
        <v>10</v>
      </c>
      <c r="F35">
        <v>41.06</v>
      </c>
      <c r="G35">
        <v>359.84</v>
      </c>
      <c r="H35" s="139">
        <v>44365</v>
      </c>
      <c r="I35" s="139">
        <v>44368</v>
      </c>
      <c r="J35" s="139">
        <v>44368</v>
      </c>
      <c r="K35" s="232" t="s">
        <v>1904</v>
      </c>
      <c r="L35" s="139" t="s">
        <v>1905</v>
      </c>
      <c r="M35" s="139">
        <v>44362</v>
      </c>
      <c r="N35" s="232" t="s">
        <v>1897</v>
      </c>
      <c r="O35" s="139" t="s">
        <v>1898</v>
      </c>
      <c r="P35" s="52" t="s">
        <v>1863</v>
      </c>
      <c r="Q35" s="52" t="s">
        <v>1885</v>
      </c>
      <c r="S35" s="52" t="s">
        <v>1902</v>
      </c>
      <c r="U35">
        <f t="shared" si="3"/>
        <v>318.77999999999997</v>
      </c>
      <c r="V35" s="230">
        <f t="shared" si="5"/>
        <v>455.4</v>
      </c>
      <c r="W35" s="51">
        <f t="shared" si="4"/>
        <v>45.54</v>
      </c>
      <c r="X35" s="243"/>
      <c r="Y35">
        <v>14596.07</v>
      </c>
    </row>
    <row r="36" spans="1:25">
      <c r="A36">
        <v>2020</v>
      </c>
      <c r="B36" t="s">
        <v>108</v>
      </c>
      <c r="C36">
        <v>6</v>
      </c>
      <c r="D36">
        <v>4</v>
      </c>
      <c r="E36">
        <v>10</v>
      </c>
      <c r="F36">
        <v>41.21</v>
      </c>
      <c r="G36">
        <v>302.02999999999997</v>
      </c>
      <c r="H36" s="139">
        <v>44365</v>
      </c>
      <c r="I36" s="139">
        <v>44368</v>
      </c>
      <c r="J36" s="139">
        <v>44368</v>
      </c>
      <c r="K36" s="232" t="s">
        <v>1904</v>
      </c>
      <c r="L36" s="139" t="s">
        <v>1905</v>
      </c>
      <c r="M36" s="139">
        <v>44362</v>
      </c>
      <c r="N36" s="232" t="s">
        <v>1897</v>
      </c>
      <c r="O36" s="139" t="s">
        <v>1898</v>
      </c>
      <c r="P36" s="52" t="s">
        <v>1863</v>
      </c>
      <c r="Q36" s="52" t="s">
        <v>1885</v>
      </c>
      <c r="S36" s="52" t="s">
        <v>1902</v>
      </c>
      <c r="U36">
        <f t="shared" si="3"/>
        <v>260.82</v>
      </c>
      <c r="V36" s="230">
        <f t="shared" si="5"/>
        <v>372.59999999999997</v>
      </c>
      <c r="W36" s="51">
        <f t="shared" si="4"/>
        <v>37.26</v>
      </c>
      <c r="X36" s="234"/>
      <c r="Y36">
        <v>15011.78</v>
      </c>
    </row>
    <row r="37" spans="1:25">
      <c r="A37">
        <v>2020</v>
      </c>
      <c r="B37" t="s">
        <v>108</v>
      </c>
      <c r="C37">
        <v>7</v>
      </c>
      <c r="D37">
        <v>4</v>
      </c>
      <c r="E37">
        <v>10</v>
      </c>
      <c r="F37">
        <v>40.11</v>
      </c>
      <c r="G37">
        <v>330.1</v>
      </c>
      <c r="H37" s="139">
        <v>44365</v>
      </c>
      <c r="I37" s="139">
        <v>44368</v>
      </c>
      <c r="J37" s="139">
        <v>44368</v>
      </c>
      <c r="K37" s="232" t="s">
        <v>1904</v>
      </c>
      <c r="L37" s="139" t="s">
        <v>1905</v>
      </c>
      <c r="M37" s="139">
        <v>44362</v>
      </c>
      <c r="N37" s="232" t="s">
        <v>1897</v>
      </c>
      <c r="O37" s="139" t="s">
        <v>1898</v>
      </c>
      <c r="P37" s="52" t="s">
        <v>1863</v>
      </c>
      <c r="Q37" s="52" t="s">
        <v>1885</v>
      </c>
      <c r="S37" s="52" t="s">
        <v>1902</v>
      </c>
      <c r="U37">
        <f t="shared" si="3"/>
        <v>289.99</v>
      </c>
      <c r="V37" s="230">
        <f t="shared" si="5"/>
        <v>414.2714285714286</v>
      </c>
      <c r="W37" s="51">
        <f t="shared" si="4"/>
        <v>41.427142857142861</v>
      </c>
      <c r="X37" s="89"/>
      <c r="Y37">
        <v>14629.62</v>
      </c>
    </row>
    <row r="38" spans="1:25">
      <c r="A38">
        <v>2020</v>
      </c>
      <c r="B38" t="s">
        <v>108</v>
      </c>
      <c r="C38">
        <v>8</v>
      </c>
      <c r="D38">
        <v>4</v>
      </c>
      <c r="E38">
        <v>10</v>
      </c>
      <c r="F38">
        <v>38.5</v>
      </c>
      <c r="G38">
        <v>271.36</v>
      </c>
      <c r="H38" s="139">
        <v>44365</v>
      </c>
      <c r="I38" s="139">
        <v>44368</v>
      </c>
      <c r="J38" s="139">
        <v>44368</v>
      </c>
      <c r="K38" s="232" t="s">
        <v>1904</v>
      </c>
      <c r="L38" s="139" t="s">
        <v>1905</v>
      </c>
      <c r="M38" s="139">
        <v>44362</v>
      </c>
      <c r="N38" s="232" t="s">
        <v>1897</v>
      </c>
      <c r="O38" s="139" t="s">
        <v>1898</v>
      </c>
      <c r="P38" s="52" t="s">
        <v>1863</v>
      </c>
      <c r="Q38" s="52" t="s">
        <v>1885</v>
      </c>
      <c r="S38" s="52" t="s">
        <v>1902</v>
      </c>
      <c r="U38">
        <f t="shared" si="3"/>
        <v>232.86</v>
      </c>
      <c r="V38" s="230">
        <f t="shared" si="5"/>
        <v>332.6571428571429</v>
      </c>
      <c r="W38" s="51">
        <f t="shared" si="4"/>
        <v>33.265714285714289</v>
      </c>
      <c r="X38" s="89"/>
      <c r="Y38">
        <v>15016.57</v>
      </c>
    </row>
    <row r="39" spans="1:25">
      <c r="A39">
        <v>2020</v>
      </c>
      <c r="B39" t="s">
        <v>108</v>
      </c>
      <c r="C39">
        <v>9</v>
      </c>
      <c r="D39">
        <v>4</v>
      </c>
      <c r="E39">
        <v>10</v>
      </c>
      <c r="F39">
        <v>40.119999999999997</v>
      </c>
      <c r="G39">
        <v>363.8</v>
      </c>
      <c r="H39" s="139">
        <v>44365</v>
      </c>
      <c r="I39" s="139">
        <v>44368</v>
      </c>
      <c r="J39" s="139">
        <v>44368</v>
      </c>
      <c r="K39" s="232" t="s">
        <v>1904</v>
      </c>
      <c r="L39" s="139" t="s">
        <v>1905</v>
      </c>
      <c r="M39" s="139">
        <v>44362</v>
      </c>
      <c r="N39" s="232" t="s">
        <v>1897</v>
      </c>
      <c r="O39" s="139" t="s">
        <v>1898</v>
      </c>
      <c r="P39" s="52" t="s">
        <v>1863</v>
      </c>
      <c r="Q39" s="52" t="s">
        <v>1885</v>
      </c>
      <c r="S39" s="52" t="s">
        <v>1902</v>
      </c>
      <c r="U39">
        <f t="shared" si="3"/>
        <v>323.68</v>
      </c>
      <c r="V39" s="230">
        <f t="shared" si="5"/>
        <v>462.40000000000003</v>
      </c>
      <c r="W39" s="51">
        <f t="shared" si="4"/>
        <v>46.24</v>
      </c>
      <c r="X39" s="89"/>
      <c r="Y39">
        <v>14666.06</v>
      </c>
    </row>
    <row r="40" spans="1:25">
      <c r="A40">
        <v>2020</v>
      </c>
      <c r="B40" t="s">
        <v>108</v>
      </c>
      <c r="C40">
        <v>10</v>
      </c>
      <c r="D40">
        <v>4</v>
      </c>
      <c r="E40">
        <v>10</v>
      </c>
      <c r="F40">
        <v>41.2</v>
      </c>
      <c r="G40">
        <v>291.67</v>
      </c>
      <c r="H40" s="139">
        <v>44365</v>
      </c>
      <c r="I40" s="139">
        <v>44368</v>
      </c>
      <c r="J40" s="139">
        <v>44368</v>
      </c>
      <c r="K40" s="232" t="s">
        <v>1904</v>
      </c>
      <c r="L40" s="139" t="s">
        <v>1905</v>
      </c>
      <c r="M40" s="139">
        <v>44362</v>
      </c>
      <c r="N40" s="232" t="s">
        <v>1897</v>
      </c>
      <c r="O40" s="139" t="s">
        <v>1898</v>
      </c>
      <c r="P40" s="52" t="s">
        <v>1863</v>
      </c>
      <c r="Q40" s="52" t="s">
        <v>1885</v>
      </c>
      <c r="S40" s="52" t="s">
        <v>1902</v>
      </c>
      <c r="U40">
        <f t="shared" si="3"/>
        <v>250.47000000000003</v>
      </c>
      <c r="V40" s="230">
        <f t="shared" si="5"/>
        <v>357.8142857142858</v>
      </c>
      <c r="W40" s="51">
        <f t="shared" si="4"/>
        <v>35.781428571428577</v>
      </c>
      <c r="X40" s="89"/>
      <c r="Y40">
        <v>14616.05</v>
      </c>
    </row>
    <row r="41" spans="1:25">
      <c r="A41">
        <v>2020</v>
      </c>
      <c r="B41" t="s">
        <v>108</v>
      </c>
      <c r="C41" t="s">
        <v>1888</v>
      </c>
      <c r="D41">
        <v>4</v>
      </c>
      <c r="E41">
        <v>7</v>
      </c>
      <c r="F41">
        <v>40.26</v>
      </c>
      <c r="G41">
        <v>538.55999999999995</v>
      </c>
      <c r="H41" s="139">
        <v>44365</v>
      </c>
      <c r="I41" s="139">
        <v>44368</v>
      </c>
      <c r="J41" s="139">
        <v>44368</v>
      </c>
      <c r="K41" s="232" t="s">
        <v>1904</v>
      </c>
      <c r="L41" s="139" t="s">
        <v>1905</v>
      </c>
      <c r="M41" s="139">
        <v>44362</v>
      </c>
      <c r="N41" s="232" t="s">
        <v>1897</v>
      </c>
      <c r="O41" s="139" t="s">
        <v>1898</v>
      </c>
      <c r="P41" s="52" t="s">
        <v>1863</v>
      </c>
      <c r="Q41" s="52" t="s">
        <v>1885</v>
      </c>
      <c r="S41" s="52" t="s">
        <v>1902</v>
      </c>
      <c r="U41">
        <f t="shared" si="3"/>
        <v>498.29999999999995</v>
      </c>
      <c r="V41" s="230">
        <f>((U41+U42)/7)*10</f>
        <v>1260.0142857142857</v>
      </c>
      <c r="W41" s="233">
        <f>U41/4</f>
        <v>124.57499999999999</v>
      </c>
      <c r="X41" s="246">
        <f>ABS(W41-W42)</f>
        <v>3.3283333333333331</v>
      </c>
      <c r="Y41">
        <v>14582.66</v>
      </c>
    </row>
    <row r="42" spans="1:25">
      <c r="A42">
        <v>2020</v>
      </c>
      <c r="B42" t="s">
        <v>108</v>
      </c>
      <c r="C42" t="s">
        <v>1887</v>
      </c>
      <c r="D42">
        <v>8</v>
      </c>
      <c r="E42">
        <v>10</v>
      </c>
      <c r="F42">
        <v>40.86</v>
      </c>
      <c r="G42">
        <v>424.57</v>
      </c>
      <c r="H42" s="139">
        <v>44365</v>
      </c>
      <c r="I42" s="139">
        <v>44368</v>
      </c>
      <c r="J42" s="139">
        <v>44368</v>
      </c>
      <c r="K42" s="232" t="s">
        <v>1904</v>
      </c>
      <c r="L42" s="139" t="s">
        <v>1905</v>
      </c>
      <c r="M42" s="139">
        <v>44362</v>
      </c>
      <c r="N42" s="232" t="s">
        <v>1897</v>
      </c>
      <c r="O42" s="139" t="s">
        <v>1898</v>
      </c>
      <c r="P42" s="52" t="s">
        <v>1863</v>
      </c>
      <c r="Q42" s="52" t="s">
        <v>1885</v>
      </c>
      <c r="S42" s="52" t="s">
        <v>1903</v>
      </c>
      <c r="U42">
        <f t="shared" si="3"/>
        <v>383.71</v>
      </c>
      <c r="W42" s="233">
        <f>U42/3</f>
        <v>127.90333333333332</v>
      </c>
      <c r="X42" s="247">
        <f>X41/SUM(U41,U42)</f>
        <v>3.7735777750063301E-3</v>
      </c>
    </row>
    <row r="43" spans="1:25">
      <c r="A43">
        <v>2020</v>
      </c>
      <c r="B43" t="s">
        <v>108</v>
      </c>
      <c r="C43" t="s">
        <v>1886</v>
      </c>
      <c r="D43">
        <v>4</v>
      </c>
      <c r="E43">
        <v>7</v>
      </c>
      <c r="F43">
        <v>40.25</v>
      </c>
      <c r="G43">
        <v>312.75</v>
      </c>
      <c r="H43" s="139">
        <v>44365</v>
      </c>
      <c r="I43" s="139">
        <v>44368</v>
      </c>
      <c r="J43" s="139">
        <v>44368</v>
      </c>
      <c r="K43" s="232" t="s">
        <v>1904</v>
      </c>
      <c r="L43" s="139" t="s">
        <v>1905</v>
      </c>
      <c r="M43" s="139">
        <v>44362</v>
      </c>
      <c r="N43" s="232" t="s">
        <v>1897</v>
      </c>
      <c r="O43" s="139" t="s">
        <v>1898</v>
      </c>
      <c r="P43" s="52" t="s">
        <v>1863</v>
      </c>
      <c r="Q43" s="52" t="s">
        <v>1885</v>
      </c>
      <c r="S43" s="52" t="s">
        <v>1903</v>
      </c>
      <c r="U43">
        <f t="shared" ref="U43:U55" si="6">G43-F43</f>
        <v>272.5</v>
      </c>
      <c r="V43" s="230">
        <f>((U43+U44)/7)*10</f>
        <v>724.65714285714284</v>
      </c>
      <c r="W43" s="233">
        <f>U43/4</f>
        <v>68.125</v>
      </c>
      <c r="X43" s="246">
        <f>ABS(W43-W44)</f>
        <v>10.128333333333345</v>
      </c>
      <c r="Y43">
        <v>14544.19</v>
      </c>
    </row>
    <row r="44" spans="1:25">
      <c r="A44">
        <v>2020</v>
      </c>
      <c r="B44" t="s">
        <v>108</v>
      </c>
      <c r="C44" t="s">
        <v>1889</v>
      </c>
      <c r="D44">
        <v>8</v>
      </c>
      <c r="E44">
        <v>10</v>
      </c>
      <c r="F44">
        <v>39.909999999999997</v>
      </c>
      <c r="G44">
        <v>274.67</v>
      </c>
      <c r="H44" s="139">
        <v>44365</v>
      </c>
      <c r="I44" s="139">
        <v>44368</v>
      </c>
      <c r="J44" s="139">
        <v>44368</v>
      </c>
      <c r="K44" s="232" t="s">
        <v>1904</v>
      </c>
      <c r="L44" s="139" t="s">
        <v>1905</v>
      </c>
      <c r="M44" s="139">
        <v>44362</v>
      </c>
      <c r="N44" s="232" t="s">
        <v>1897</v>
      </c>
      <c r="O44" s="139" t="s">
        <v>1898</v>
      </c>
      <c r="P44" s="52" t="s">
        <v>1863</v>
      </c>
      <c r="Q44" s="52" t="s">
        <v>1885</v>
      </c>
      <c r="S44" s="52" t="s">
        <v>1903</v>
      </c>
      <c r="U44">
        <f t="shared" si="6"/>
        <v>234.76000000000002</v>
      </c>
      <c r="W44" s="233">
        <f>U44/3</f>
        <v>78.253333333333345</v>
      </c>
      <c r="X44" s="247">
        <f>X43/SUM(U43,U44)</f>
        <v>1.9966749464442976E-2</v>
      </c>
    </row>
    <row r="45" spans="1:25">
      <c r="A45">
        <v>2020</v>
      </c>
      <c r="B45" t="s">
        <v>108</v>
      </c>
      <c r="C45" t="s">
        <v>1890</v>
      </c>
      <c r="D45">
        <v>4</v>
      </c>
      <c r="E45">
        <v>7</v>
      </c>
      <c r="F45">
        <v>40.65</v>
      </c>
      <c r="G45">
        <v>330.75</v>
      </c>
      <c r="H45" s="139">
        <v>44365</v>
      </c>
      <c r="I45" s="139">
        <v>44368</v>
      </c>
      <c r="J45" s="139">
        <v>44368</v>
      </c>
      <c r="K45" s="232" t="s">
        <v>1904</v>
      </c>
      <c r="L45" s="139" t="s">
        <v>1905</v>
      </c>
      <c r="M45" s="139">
        <v>44362</v>
      </c>
      <c r="N45" s="232" t="s">
        <v>1897</v>
      </c>
      <c r="O45" s="139" t="s">
        <v>1898</v>
      </c>
      <c r="P45" s="52" t="s">
        <v>1863</v>
      </c>
      <c r="Q45" s="52" t="s">
        <v>1885</v>
      </c>
      <c r="S45" s="52" t="s">
        <v>1903</v>
      </c>
      <c r="U45">
        <f t="shared" si="6"/>
        <v>290.10000000000002</v>
      </c>
      <c r="V45" s="230">
        <f>((U45+U46)/7)*10</f>
        <v>677.48571428571427</v>
      </c>
      <c r="W45" s="233">
        <f>U45/4</f>
        <v>72.525000000000006</v>
      </c>
      <c r="X45" s="246">
        <f>ABS(W45-W46)</f>
        <v>11.145000000000003</v>
      </c>
      <c r="Y45">
        <v>14397.06</v>
      </c>
    </row>
    <row r="46" spans="1:25">
      <c r="A46">
        <v>2020</v>
      </c>
      <c r="B46" t="s">
        <v>108</v>
      </c>
      <c r="C46" t="s">
        <v>1891</v>
      </c>
      <c r="D46">
        <v>8</v>
      </c>
      <c r="E46">
        <v>10</v>
      </c>
      <c r="F46">
        <v>40.57</v>
      </c>
      <c r="G46">
        <v>224.71</v>
      </c>
      <c r="H46" s="139">
        <v>44365</v>
      </c>
      <c r="I46" s="139">
        <v>44368</v>
      </c>
      <c r="J46" s="139">
        <v>44368</v>
      </c>
      <c r="K46" s="232" t="s">
        <v>1904</v>
      </c>
      <c r="L46" s="139" t="s">
        <v>1905</v>
      </c>
      <c r="M46" s="139">
        <v>44362</v>
      </c>
      <c r="N46" s="232" t="s">
        <v>1897</v>
      </c>
      <c r="O46" s="139" t="s">
        <v>1898</v>
      </c>
      <c r="P46" s="52" t="s">
        <v>1863</v>
      </c>
      <c r="Q46" s="52" t="s">
        <v>1885</v>
      </c>
      <c r="S46" s="52" t="s">
        <v>1903</v>
      </c>
      <c r="U46">
        <f t="shared" si="6"/>
        <v>184.14000000000001</v>
      </c>
      <c r="W46" s="233">
        <f>U46/3</f>
        <v>61.38</v>
      </c>
      <c r="X46" s="247">
        <f>X45/SUM(U45,U46)</f>
        <v>2.3500759109311747E-2</v>
      </c>
    </row>
    <row r="47" spans="1:25" s="28" customFormat="1">
      <c r="A47" s="28">
        <v>2020</v>
      </c>
      <c r="B47" s="28" t="s">
        <v>108</v>
      </c>
      <c r="C47" s="28" t="s">
        <v>1900</v>
      </c>
      <c r="D47" s="28">
        <v>4</v>
      </c>
      <c r="E47" s="28">
        <v>5</v>
      </c>
      <c r="F47" s="28">
        <v>40.99</v>
      </c>
      <c r="G47" s="28">
        <v>119.77</v>
      </c>
      <c r="H47" s="236">
        <v>44365</v>
      </c>
      <c r="I47" s="139">
        <v>44368</v>
      </c>
      <c r="J47" s="236">
        <v>44368</v>
      </c>
      <c r="K47" s="248" t="s">
        <v>1904</v>
      </c>
      <c r="L47" s="236" t="s">
        <v>1905</v>
      </c>
      <c r="M47" s="236">
        <v>44362</v>
      </c>
      <c r="N47" s="248" t="s">
        <v>1897</v>
      </c>
      <c r="O47" s="236" t="s">
        <v>1898</v>
      </c>
      <c r="P47" s="28" t="s">
        <v>1863</v>
      </c>
      <c r="Q47" s="28" t="s">
        <v>1885</v>
      </c>
      <c r="S47" s="245" t="s">
        <v>1906</v>
      </c>
      <c r="U47" s="28">
        <f t="shared" si="6"/>
        <v>78.78</v>
      </c>
      <c r="V47" s="251">
        <f>((U48)/5)*10</f>
        <v>601.67999999999995</v>
      </c>
      <c r="W47" s="57">
        <f>U47/2</f>
        <v>39.39</v>
      </c>
      <c r="X47" s="249">
        <f>ABS(W47-W48)</f>
        <v>20.777999999999992</v>
      </c>
      <c r="Y47" s="28">
        <v>14536.36</v>
      </c>
    </row>
    <row r="48" spans="1:25" s="28" customFormat="1">
      <c r="A48" s="28">
        <v>2020</v>
      </c>
      <c r="B48" s="28" t="s">
        <v>108</v>
      </c>
      <c r="C48" s="28" t="s">
        <v>1901</v>
      </c>
      <c r="D48" s="28">
        <v>6</v>
      </c>
      <c r="E48" s="28">
        <v>10</v>
      </c>
      <c r="F48" s="28">
        <v>40.369999999999997</v>
      </c>
      <c r="G48" s="28">
        <v>341.21</v>
      </c>
      <c r="H48" s="236">
        <v>44365</v>
      </c>
      <c r="I48" s="139">
        <v>44368</v>
      </c>
      <c r="J48" s="236">
        <v>44368</v>
      </c>
      <c r="K48" s="248" t="s">
        <v>1904</v>
      </c>
      <c r="L48" s="236" t="s">
        <v>1905</v>
      </c>
      <c r="M48" s="236">
        <v>44362</v>
      </c>
      <c r="N48" s="248" t="s">
        <v>1897</v>
      </c>
      <c r="O48" s="236" t="s">
        <v>1898</v>
      </c>
      <c r="P48" s="28" t="s">
        <v>1863</v>
      </c>
      <c r="Q48" s="28" t="s">
        <v>1885</v>
      </c>
      <c r="S48" s="245" t="s">
        <v>1906</v>
      </c>
      <c r="U48" s="28">
        <f t="shared" si="6"/>
        <v>300.83999999999997</v>
      </c>
      <c r="V48" s="242"/>
      <c r="W48" s="57">
        <f>U48/5</f>
        <v>60.167999999999992</v>
      </c>
      <c r="X48" s="250">
        <f>X47/SUM(U47,U48)</f>
        <v>5.4733681049470503E-2</v>
      </c>
    </row>
    <row r="49" spans="1:25">
      <c r="A49">
        <v>2020</v>
      </c>
      <c r="B49" t="s">
        <v>108</v>
      </c>
      <c r="C49">
        <v>15</v>
      </c>
      <c r="D49">
        <v>4</v>
      </c>
      <c r="E49">
        <v>10</v>
      </c>
      <c r="F49">
        <v>39.799999999999997</v>
      </c>
      <c r="G49">
        <v>322.7</v>
      </c>
      <c r="H49" s="139">
        <v>44365</v>
      </c>
      <c r="I49" s="139">
        <v>44368</v>
      </c>
      <c r="J49" s="139">
        <v>44368</v>
      </c>
      <c r="K49" s="232" t="s">
        <v>1904</v>
      </c>
      <c r="L49" s="139" t="s">
        <v>1905</v>
      </c>
      <c r="M49" s="139">
        <v>44362</v>
      </c>
      <c r="N49" s="232" t="s">
        <v>1897</v>
      </c>
      <c r="O49" s="139" t="s">
        <v>1898</v>
      </c>
      <c r="P49" s="52" t="s">
        <v>1863</v>
      </c>
      <c r="Q49" s="52" t="s">
        <v>1885</v>
      </c>
      <c r="S49" s="52" t="s">
        <v>1903</v>
      </c>
      <c r="U49">
        <f>G49-F49</f>
        <v>282.89999999999998</v>
      </c>
      <c r="V49" s="230">
        <f>((U49/7)*10)</f>
        <v>404.14285714285711</v>
      </c>
      <c r="W49" s="51">
        <f>U49/7</f>
        <v>40.414285714285711</v>
      </c>
      <c r="X49" s="243"/>
      <c r="Y49">
        <v>15199.05</v>
      </c>
    </row>
    <row r="50" spans="1:25">
      <c r="A50">
        <v>2020</v>
      </c>
      <c r="B50" t="s">
        <v>108</v>
      </c>
      <c r="C50">
        <v>16</v>
      </c>
      <c r="D50">
        <v>4</v>
      </c>
      <c r="E50">
        <v>10</v>
      </c>
      <c r="F50">
        <v>40.35</v>
      </c>
      <c r="G50">
        <v>283.05</v>
      </c>
      <c r="H50" s="139">
        <v>44365</v>
      </c>
      <c r="I50" s="139">
        <v>44368</v>
      </c>
      <c r="J50" s="139">
        <v>44368</v>
      </c>
      <c r="K50" s="232" t="s">
        <v>1904</v>
      </c>
      <c r="L50" s="139" t="s">
        <v>1905</v>
      </c>
      <c r="M50" s="139">
        <v>44362</v>
      </c>
      <c r="N50" s="232" t="s">
        <v>1897</v>
      </c>
      <c r="O50" s="139" t="s">
        <v>1898</v>
      </c>
      <c r="P50" s="52" t="s">
        <v>1863</v>
      </c>
      <c r="Q50" s="52" t="s">
        <v>1885</v>
      </c>
      <c r="S50" s="52" t="s">
        <v>1903</v>
      </c>
      <c r="U50">
        <f t="shared" si="6"/>
        <v>242.70000000000002</v>
      </c>
      <c r="V50" s="230">
        <f t="shared" ref="V50:V55" si="7">((U50/7)*10)</f>
        <v>346.71428571428572</v>
      </c>
      <c r="W50" s="51">
        <f t="shared" ref="W50:W55" si="8">U50/7</f>
        <v>34.671428571428571</v>
      </c>
      <c r="X50" s="234"/>
      <c r="Y50">
        <v>14624.03</v>
      </c>
    </row>
    <row r="51" spans="1:25">
      <c r="A51">
        <v>2020</v>
      </c>
      <c r="B51" t="s">
        <v>108</v>
      </c>
      <c r="C51">
        <v>17</v>
      </c>
      <c r="D51">
        <v>4</v>
      </c>
      <c r="E51">
        <v>10</v>
      </c>
      <c r="F51">
        <v>40.42</v>
      </c>
      <c r="G51">
        <v>214.08</v>
      </c>
      <c r="H51" s="139">
        <v>44369</v>
      </c>
      <c r="I51" s="139">
        <v>44371</v>
      </c>
      <c r="J51" s="139">
        <v>44371</v>
      </c>
      <c r="K51" s="232" t="s">
        <v>1908</v>
      </c>
      <c r="L51" s="139" t="s">
        <v>1909</v>
      </c>
      <c r="M51" s="139">
        <v>44362</v>
      </c>
      <c r="N51" s="232" t="s">
        <v>1897</v>
      </c>
      <c r="O51" s="139" t="s">
        <v>1898</v>
      </c>
      <c r="P51" s="52" t="s">
        <v>1863</v>
      </c>
      <c r="Q51" s="52" t="s">
        <v>1885</v>
      </c>
      <c r="S51" s="52" t="s">
        <v>1907</v>
      </c>
      <c r="U51">
        <f t="shared" si="6"/>
        <v>173.66000000000003</v>
      </c>
      <c r="V51" s="230">
        <f t="shared" si="7"/>
        <v>248.08571428571435</v>
      </c>
      <c r="W51" s="51">
        <f t="shared" si="8"/>
        <v>24.808571428571433</v>
      </c>
      <c r="X51" s="243"/>
      <c r="Y51">
        <v>15054.9</v>
      </c>
    </row>
    <row r="52" spans="1:25">
      <c r="A52">
        <v>2020</v>
      </c>
      <c r="B52" t="s">
        <v>108</v>
      </c>
      <c r="C52">
        <v>18</v>
      </c>
      <c r="D52">
        <v>4</v>
      </c>
      <c r="E52">
        <v>10</v>
      </c>
      <c r="F52">
        <v>38.28</v>
      </c>
      <c r="G52">
        <v>187.51</v>
      </c>
      <c r="H52" s="139">
        <v>44369</v>
      </c>
      <c r="I52" s="139">
        <v>44371</v>
      </c>
      <c r="J52" s="139">
        <v>44371</v>
      </c>
      <c r="K52" s="232" t="s">
        <v>1908</v>
      </c>
      <c r="L52" s="139" t="s">
        <v>1909</v>
      </c>
      <c r="M52" s="139">
        <v>44362</v>
      </c>
      <c r="N52" s="232" t="s">
        <v>1897</v>
      </c>
      <c r="O52" s="139" t="s">
        <v>1898</v>
      </c>
      <c r="P52" s="52" t="s">
        <v>1863</v>
      </c>
      <c r="Q52" s="52" t="s">
        <v>1885</v>
      </c>
      <c r="S52" s="52" t="s">
        <v>1907</v>
      </c>
      <c r="U52">
        <f t="shared" si="6"/>
        <v>149.22999999999999</v>
      </c>
      <c r="V52" s="230">
        <f t="shared" si="7"/>
        <v>213.18571428571428</v>
      </c>
      <c r="W52" s="51">
        <f t="shared" si="8"/>
        <v>21.318571428571428</v>
      </c>
      <c r="X52" s="234"/>
      <c r="Y52">
        <v>14457.69</v>
      </c>
    </row>
    <row r="53" spans="1:25">
      <c r="A53">
        <v>2020</v>
      </c>
      <c r="B53" t="s">
        <v>108</v>
      </c>
      <c r="C53">
        <v>19</v>
      </c>
      <c r="D53">
        <v>4</v>
      </c>
      <c r="E53">
        <v>10</v>
      </c>
      <c r="F53">
        <v>41.32</v>
      </c>
      <c r="G53">
        <v>180.23</v>
      </c>
      <c r="H53" s="139">
        <v>44369</v>
      </c>
      <c r="I53" s="139">
        <v>44371</v>
      </c>
      <c r="J53" s="139">
        <v>44371</v>
      </c>
      <c r="K53" s="232" t="s">
        <v>1908</v>
      </c>
      <c r="L53" s="139" t="s">
        <v>1909</v>
      </c>
      <c r="M53" s="139">
        <v>44362</v>
      </c>
      <c r="N53" s="232" t="s">
        <v>1897</v>
      </c>
      <c r="O53" s="139" t="s">
        <v>1898</v>
      </c>
      <c r="P53" s="52" t="s">
        <v>1863</v>
      </c>
      <c r="Q53" s="52" t="s">
        <v>1885</v>
      </c>
      <c r="S53" s="52" t="s">
        <v>1907</v>
      </c>
      <c r="U53">
        <f t="shared" si="6"/>
        <v>138.91</v>
      </c>
      <c r="V53" s="230">
        <f t="shared" si="7"/>
        <v>198.44285714285715</v>
      </c>
      <c r="W53" s="51">
        <f t="shared" si="8"/>
        <v>19.844285714285714</v>
      </c>
      <c r="X53" s="234"/>
      <c r="Y53">
        <v>14997.48</v>
      </c>
    </row>
    <row r="54" spans="1:25">
      <c r="A54">
        <v>2020</v>
      </c>
      <c r="B54" t="s">
        <v>108</v>
      </c>
      <c r="C54">
        <v>20</v>
      </c>
      <c r="D54">
        <v>4</v>
      </c>
      <c r="E54">
        <v>10</v>
      </c>
      <c r="F54">
        <v>41.26</v>
      </c>
      <c r="G54">
        <v>186.9</v>
      </c>
      <c r="H54" s="139">
        <v>44369</v>
      </c>
      <c r="I54" s="139">
        <v>44371</v>
      </c>
      <c r="J54" s="139">
        <v>44371</v>
      </c>
      <c r="K54" s="232" t="s">
        <v>1908</v>
      </c>
      <c r="L54" s="139" t="s">
        <v>1909</v>
      </c>
      <c r="M54" s="139">
        <v>44362</v>
      </c>
      <c r="N54" s="232" t="s">
        <v>1897</v>
      </c>
      <c r="O54" s="139" t="s">
        <v>1898</v>
      </c>
      <c r="P54" s="52" t="s">
        <v>1863</v>
      </c>
      <c r="Q54" s="52" t="s">
        <v>1885</v>
      </c>
      <c r="S54" s="52" t="s">
        <v>1907</v>
      </c>
      <c r="U54">
        <f t="shared" si="6"/>
        <v>145.64000000000001</v>
      </c>
      <c r="V54" s="230">
        <f t="shared" si="7"/>
        <v>208.05714285714288</v>
      </c>
      <c r="W54" s="51">
        <f t="shared" si="8"/>
        <v>20.805714285714288</v>
      </c>
      <c r="X54" s="89"/>
      <c r="Y54">
        <v>14558.46</v>
      </c>
    </row>
    <row r="55" spans="1:25">
      <c r="A55">
        <v>2020</v>
      </c>
      <c r="B55" t="s">
        <v>108</v>
      </c>
      <c r="C55">
        <v>21</v>
      </c>
      <c r="D55">
        <v>4</v>
      </c>
      <c r="E55">
        <v>10</v>
      </c>
      <c r="F55">
        <v>41.39</v>
      </c>
      <c r="G55">
        <v>371.41</v>
      </c>
      <c r="H55" s="139">
        <v>44369</v>
      </c>
      <c r="I55" s="139">
        <v>44371</v>
      </c>
      <c r="J55" s="139">
        <v>44371</v>
      </c>
      <c r="K55" s="232" t="s">
        <v>1908</v>
      </c>
      <c r="L55" s="139" t="s">
        <v>1909</v>
      </c>
      <c r="M55" s="139">
        <v>44362</v>
      </c>
      <c r="N55" s="232" t="s">
        <v>1897</v>
      </c>
      <c r="O55" s="139" t="s">
        <v>1898</v>
      </c>
      <c r="P55" s="52" t="s">
        <v>1863</v>
      </c>
      <c r="Q55" s="52" t="s">
        <v>1885</v>
      </c>
      <c r="S55" s="52" t="s">
        <v>1907</v>
      </c>
      <c r="U55">
        <f t="shared" si="6"/>
        <v>330.02000000000004</v>
      </c>
      <c r="V55" s="230">
        <f t="shared" si="7"/>
        <v>471.45714285714291</v>
      </c>
      <c r="W55" s="51">
        <f t="shared" si="8"/>
        <v>47.145714285714291</v>
      </c>
      <c r="Y55">
        <v>14515.39</v>
      </c>
    </row>
    <row r="56" spans="1:25">
      <c r="H56" s="139"/>
      <c r="I56" s="139"/>
      <c r="J56" s="139"/>
      <c r="M56" s="139"/>
      <c r="N56" s="232"/>
      <c r="O56" s="139"/>
      <c r="P56" s="52"/>
      <c r="Q56" s="52"/>
      <c r="S56" s="52"/>
    </row>
    <row r="57" spans="1:25" s="229" customFormat="1">
      <c r="A57" s="229" t="str">
        <f>main!A54</f>
        <v>Deployment 02/09/2020 IN2020_V09</v>
      </c>
      <c r="B57" s="229" t="str">
        <f>main!B54</f>
        <v>McLane-PARFLUX-Mark78H-21 ; frame # 12993-01, controller # 12993-01 and motor # 12993-01 Cup set ACx21</v>
      </c>
      <c r="V57" s="230"/>
      <c r="X57" s="231"/>
    </row>
    <row r="58" spans="1:25">
      <c r="A58">
        <v>2020</v>
      </c>
      <c r="B58" t="s">
        <v>109</v>
      </c>
      <c r="C58" t="s">
        <v>1718</v>
      </c>
      <c r="D58">
        <v>4</v>
      </c>
      <c r="E58">
        <v>10</v>
      </c>
      <c r="F58">
        <v>40.1</v>
      </c>
      <c r="G58">
        <v>168.28</v>
      </c>
      <c r="H58" s="139">
        <v>44371</v>
      </c>
      <c r="I58" s="139">
        <v>44375</v>
      </c>
      <c r="J58" s="139">
        <v>44375</v>
      </c>
      <c r="K58" s="232" t="s">
        <v>1910</v>
      </c>
      <c r="L58" s="139" t="s">
        <v>1911</v>
      </c>
      <c r="M58" s="139">
        <v>44369</v>
      </c>
      <c r="P58" s="52" t="s">
        <v>1863</v>
      </c>
      <c r="Q58" s="52" t="s">
        <v>1885</v>
      </c>
      <c r="S58" s="52"/>
      <c r="U58">
        <f t="shared" ref="U58:U80" si="9">G58-F58</f>
        <v>128.18</v>
      </c>
      <c r="V58" s="230">
        <f t="shared" ref="V58:V80" si="10">((U58/7)*10)</f>
        <v>183.1142857142857</v>
      </c>
      <c r="W58" s="51">
        <f t="shared" ref="W58:W80" si="11">U58/7</f>
        <v>18.311428571428571</v>
      </c>
      <c r="X58" s="243"/>
      <c r="Y58">
        <v>15061.31</v>
      </c>
    </row>
    <row r="59" spans="1:25">
      <c r="A59">
        <v>2020</v>
      </c>
      <c r="B59" t="s">
        <v>109</v>
      </c>
      <c r="C59">
        <v>2</v>
      </c>
      <c r="D59">
        <v>4</v>
      </c>
      <c r="E59">
        <v>10</v>
      </c>
      <c r="F59">
        <v>40.86</v>
      </c>
      <c r="G59">
        <v>168.45</v>
      </c>
      <c r="H59" s="139">
        <v>44371</v>
      </c>
      <c r="I59" s="139">
        <v>44375</v>
      </c>
      <c r="J59" s="139">
        <v>44375</v>
      </c>
      <c r="K59" s="232" t="s">
        <v>1910</v>
      </c>
      <c r="L59" s="139" t="s">
        <v>1911</v>
      </c>
      <c r="M59" s="139">
        <v>44369</v>
      </c>
      <c r="P59" s="52" t="s">
        <v>1863</v>
      </c>
      <c r="Q59" s="52" t="s">
        <v>1885</v>
      </c>
      <c r="S59" s="52"/>
      <c r="U59">
        <f t="shared" si="9"/>
        <v>127.58999999999999</v>
      </c>
      <c r="V59" s="230">
        <f t="shared" si="10"/>
        <v>182.27142857142854</v>
      </c>
      <c r="W59" s="51">
        <f t="shared" si="11"/>
        <v>18.227142857142855</v>
      </c>
      <c r="X59" s="234"/>
      <c r="Y59">
        <v>15052.86</v>
      </c>
    </row>
    <row r="60" spans="1:25">
      <c r="A60">
        <v>2020</v>
      </c>
      <c r="B60" t="s">
        <v>109</v>
      </c>
      <c r="C60">
        <v>3</v>
      </c>
      <c r="D60">
        <v>4</v>
      </c>
      <c r="E60">
        <v>10</v>
      </c>
      <c r="F60">
        <v>40.74</v>
      </c>
      <c r="G60">
        <v>216.79</v>
      </c>
      <c r="H60" s="139">
        <v>44371</v>
      </c>
      <c r="I60" s="139">
        <v>44375</v>
      </c>
      <c r="J60" s="139">
        <v>44375</v>
      </c>
      <c r="K60" s="232" t="s">
        <v>1910</v>
      </c>
      <c r="L60" s="139" t="s">
        <v>1911</v>
      </c>
      <c r="M60" s="139">
        <v>44369</v>
      </c>
      <c r="P60" s="52" t="s">
        <v>1863</v>
      </c>
      <c r="Q60" s="52" t="s">
        <v>1885</v>
      </c>
      <c r="S60" s="52"/>
      <c r="U60">
        <f t="shared" si="9"/>
        <v>176.04999999999998</v>
      </c>
      <c r="V60" s="230">
        <f t="shared" si="10"/>
        <v>251.5</v>
      </c>
      <c r="W60" s="51">
        <f t="shared" si="11"/>
        <v>25.15</v>
      </c>
      <c r="X60" s="89"/>
      <c r="Y60">
        <v>14564.84</v>
      </c>
    </row>
    <row r="61" spans="1:25">
      <c r="A61">
        <v>2020</v>
      </c>
      <c r="B61" t="s">
        <v>109</v>
      </c>
      <c r="C61">
        <v>4</v>
      </c>
      <c r="D61">
        <v>4</v>
      </c>
      <c r="E61">
        <v>10</v>
      </c>
      <c r="F61">
        <v>40.98</v>
      </c>
      <c r="G61">
        <v>220.09</v>
      </c>
      <c r="H61" s="139">
        <v>44371</v>
      </c>
      <c r="I61" s="139">
        <v>44375</v>
      </c>
      <c r="J61" s="139">
        <v>44375</v>
      </c>
      <c r="K61" s="232" t="s">
        <v>1910</v>
      </c>
      <c r="L61" s="139" t="s">
        <v>1911</v>
      </c>
      <c r="M61" s="139">
        <v>44369</v>
      </c>
      <c r="P61" s="52" t="s">
        <v>1863</v>
      </c>
      <c r="Q61" s="52" t="s">
        <v>1885</v>
      </c>
      <c r="S61" s="52"/>
      <c r="U61">
        <f t="shared" si="9"/>
        <v>179.11</v>
      </c>
      <c r="V61" s="230">
        <f t="shared" si="10"/>
        <v>255.87142857142857</v>
      </c>
      <c r="W61" s="51">
        <f t="shared" si="11"/>
        <v>25.587142857142858</v>
      </c>
      <c r="X61" s="89"/>
      <c r="Y61">
        <v>14963.59</v>
      </c>
    </row>
    <row r="62" spans="1:25">
      <c r="A62">
        <v>2020</v>
      </c>
      <c r="B62" t="s">
        <v>109</v>
      </c>
      <c r="C62">
        <v>5</v>
      </c>
      <c r="D62">
        <v>4</v>
      </c>
      <c r="E62">
        <v>10</v>
      </c>
      <c r="F62">
        <v>40.799999999999997</v>
      </c>
      <c r="G62">
        <v>265.87</v>
      </c>
      <c r="H62" s="139">
        <v>44371</v>
      </c>
      <c r="I62" s="139">
        <v>44375</v>
      </c>
      <c r="J62" s="139">
        <v>44375</v>
      </c>
      <c r="K62" s="232" t="s">
        <v>1910</v>
      </c>
      <c r="L62" s="139" t="s">
        <v>1911</v>
      </c>
      <c r="M62" s="139">
        <v>44369</v>
      </c>
      <c r="P62" s="52" t="s">
        <v>1863</v>
      </c>
      <c r="Q62" s="52" t="s">
        <v>1885</v>
      </c>
      <c r="S62" s="52"/>
      <c r="U62">
        <f t="shared" si="9"/>
        <v>225.07</v>
      </c>
      <c r="V62" s="230">
        <f t="shared" si="10"/>
        <v>321.52857142857147</v>
      </c>
      <c r="W62" s="51">
        <f t="shared" si="11"/>
        <v>32.152857142857144</v>
      </c>
      <c r="X62" s="89"/>
      <c r="Y62">
        <v>14989.63</v>
      </c>
    </row>
    <row r="63" spans="1:25">
      <c r="A63">
        <v>2020</v>
      </c>
      <c r="B63" t="s">
        <v>109</v>
      </c>
      <c r="C63">
        <v>6</v>
      </c>
      <c r="D63">
        <v>4</v>
      </c>
      <c r="E63">
        <v>10</v>
      </c>
      <c r="F63">
        <v>40.46</v>
      </c>
      <c r="G63">
        <v>268.86</v>
      </c>
      <c r="H63" s="139">
        <v>44371</v>
      </c>
      <c r="I63" s="139">
        <v>44375</v>
      </c>
      <c r="J63" s="139">
        <v>44375</v>
      </c>
      <c r="K63" s="232" t="s">
        <v>1910</v>
      </c>
      <c r="L63" s="139" t="s">
        <v>1911</v>
      </c>
      <c r="M63" s="139">
        <v>44369</v>
      </c>
      <c r="P63" s="52" t="s">
        <v>1863</v>
      </c>
      <c r="Q63" s="52" t="s">
        <v>1885</v>
      </c>
      <c r="S63" s="52"/>
      <c r="U63">
        <f t="shared" si="9"/>
        <v>228.4</v>
      </c>
      <c r="V63" s="230">
        <f t="shared" si="10"/>
        <v>326.28571428571428</v>
      </c>
      <c r="W63" s="51">
        <f t="shared" si="11"/>
        <v>32.628571428571426</v>
      </c>
      <c r="X63" s="89"/>
      <c r="Y63">
        <v>15008.89</v>
      </c>
    </row>
    <row r="64" spans="1:25">
      <c r="A64">
        <v>2020</v>
      </c>
      <c r="B64" t="s">
        <v>109</v>
      </c>
      <c r="C64">
        <v>7</v>
      </c>
      <c r="D64">
        <v>4</v>
      </c>
      <c r="E64">
        <v>10</v>
      </c>
      <c r="F64">
        <v>41.59</v>
      </c>
      <c r="G64">
        <v>271.89999999999998</v>
      </c>
      <c r="H64" s="139">
        <v>44371</v>
      </c>
      <c r="I64" s="139">
        <v>44375</v>
      </c>
      <c r="J64" s="139">
        <v>44375</v>
      </c>
      <c r="K64" s="232" t="s">
        <v>1910</v>
      </c>
      <c r="L64" s="139" t="s">
        <v>1911</v>
      </c>
      <c r="M64" s="139">
        <v>44369</v>
      </c>
      <c r="P64" s="52" t="s">
        <v>1863</v>
      </c>
      <c r="Q64" s="52" t="s">
        <v>1885</v>
      </c>
      <c r="S64" s="52"/>
      <c r="U64">
        <f t="shared" si="9"/>
        <v>230.30999999999997</v>
      </c>
      <c r="V64" s="230">
        <f t="shared" si="10"/>
        <v>329.01428571428568</v>
      </c>
      <c r="W64" s="51">
        <f t="shared" si="11"/>
        <v>32.901428571428568</v>
      </c>
      <c r="X64" s="89"/>
      <c r="Y64">
        <v>15108.15</v>
      </c>
    </row>
    <row r="65" spans="1:25">
      <c r="A65">
        <v>2020</v>
      </c>
      <c r="B65" t="s">
        <v>109</v>
      </c>
      <c r="C65">
        <v>8</v>
      </c>
      <c r="D65">
        <v>4</v>
      </c>
      <c r="E65">
        <v>10</v>
      </c>
      <c r="F65">
        <v>41.85</v>
      </c>
      <c r="G65">
        <v>243.98</v>
      </c>
      <c r="H65" s="139">
        <v>44371</v>
      </c>
      <c r="I65" s="139">
        <v>44375</v>
      </c>
      <c r="J65" s="139">
        <v>44375</v>
      </c>
      <c r="K65" s="232" t="s">
        <v>1910</v>
      </c>
      <c r="L65" s="139" t="s">
        <v>1911</v>
      </c>
      <c r="M65" s="139">
        <v>44369</v>
      </c>
      <c r="P65" s="52" t="s">
        <v>1863</v>
      </c>
      <c r="Q65" s="52" t="s">
        <v>1885</v>
      </c>
      <c r="S65" s="52"/>
      <c r="U65">
        <f t="shared" si="9"/>
        <v>202.13</v>
      </c>
      <c r="V65" s="230">
        <f t="shared" si="10"/>
        <v>288.75714285714287</v>
      </c>
      <c r="W65" s="51">
        <f t="shared" si="11"/>
        <v>28.875714285714285</v>
      </c>
      <c r="X65" s="89"/>
      <c r="Y65">
        <v>14488.37</v>
      </c>
    </row>
    <row r="66" spans="1:25">
      <c r="A66">
        <v>2020</v>
      </c>
      <c r="B66" t="s">
        <v>109</v>
      </c>
      <c r="C66">
        <v>9</v>
      </c>
      <c r="D66">
        <v>4</v>
      </c>
      <c r="E66">
        <v>10</v>
      </c>
      <c r="F66">
        <v>40.159999999999997</v>
      </c>
      <c r="G66">
        <v>246.6</v>
      </c>
      <c r="H66" s="139">
        <v>44371</v>
      </c>
      <c r="I66" s="139">
        <v>44375</v>
      </c>
      <c r="J66" s="139">
        <v>44375</v>
      </c>
      <c r="K66" s="232" t="s">
        <v>1910</v>
      </c>
      <c r="L66" s="139" t="s">
        <v>1911</v>
      </c>
      <c r="M66" s="139">
        <v>44369</v>
      </c>
      <c r="P66" s="52" t="s">
        <v>1863</v>
      </c>
      <c r="Q66" s="52" t="s">
        <v>1885</v>
      </c>
      <c r="S66" s="52"/>
      <c r="U66">
        <f t="shared" si="9"/>
        <v>206.44</v>
      </c>
      <c r="V66" s="230">
        <f t="shared" si="10"/>
        <v>294.91428571428571</v>
      </c>
      <c r="W66" s="51">
        <f t="shared" si="11"/>
        <v>29.491428571428571</v>
      </c>
      <c r="X66" s="89"/>
      <c r="Y66">
        <v>14527.67</v>
      </c>
    </row>
    <row r="67" spans="1:25">
      <c r="A67">
        <v>2020</v>
      </c>
      <c r="B67" t="s">
        <v>109</v>
      </c>
      <c r="C67">
        <v>10</v>
      </c>
      <c r="D67">
        <v>4</v>
      </c>
      <c r="E67">
        <v>10</v>
      </c>
      <c r="F67">
        <v>41.99</v>
      </c>
      <c r="G67">
        <v>272.08999999999997</v>
      </c>
      <c r="H67" s="139">
        <v>44371</v>
      </c>
      <c r="I67" s="139">
        <v>44375</v>
      </c>
      <c r="J67" s="139">
        <v>44375</v>
      </c>
      <c r="K67" s="232" t="s">
        <v>1910</v>
      </c>
      <c r="L67" s="139" t="s">
        <v>1911</v>
      </c>
      <c r="M67" s="139">
        <v>44369</v>
      </c>
      <c r="P67" s="52" t="s">
        <v>1863</v>
      </c>
      <c r="Q67" s="52" t="s">
        <v>1885</v>
      </c>
      <c r="S67" s="52"/>
      <c r="U67">
        <f t="shared" si="9"/>
        <v>230.09999999999997</v>
      </c>
      <c r="V67" s="230">
        <f t="shared" si="10"/>
        <v>328.71428571428567</v>
      </c>
      <c r="W67" s="51">
        <f t="shared" si="11"/>
        <v>32.871428571428567</v>
      </c>
      <c r="X67" s="89"/>
      <c r="Y67">
        <v>15048.74</v>
      </c>
    </row>
    <row r="68" spans="1:25">
      <c r="A68">
        <v>2020</v>
      </c>
      <c r="B68" t="s">
        <v>109</v>
      </c>
      <c r="C68" t="s">
        <v>1888</v>
      </c>
      <c r="D68">
        <v>4</v>
      </c>
      <c r="E68">
        <v>7</v>
      </c>
      <c r="F68">
        <v>40.57</v>
      </c>
      <c r="G68">
        <v>232.7</v>
      </c>
      <c r="H68" s="139">
        <v>44371</v>
      </c>
      <c r="I68" s="139">
        <v>44375</v>
      </c>
      <c r="J68" s="139">
        <v>44375</v>
      </c>
      <c r="K68" s="232" t="s">
        <v>1910</v>
      </c>
      <c r="L68" s="139" t="s">
        <v>1911</v>
      </c>
      <c r="M68" s="139">
        <v>44369</v>
      </c>
      <c r="P68" s="52" t="s">
        <v>1863</v>
      </c>
      <c r="Q68" s="52" t="s">
        <v>1885</v>
      </c>
      <c r="S68" s="52"/>
      <c r="U68">
        <f t="shared" si="9"/>
        <v>192.13</v>
      </c>
      <c r="V68" s="230">
        <f>((U68+U69)/7)*10</f>
        <v>483.82857142857142</v>
      </c>
      <c r="W68" s="233">
        <f>U68/4</f>
        <v>48.032499999999999</v>
      </c>
      <c r="X68" s="246">
        <f>ABS(W68-W69)</f>
        <v>0.81750000000000256</v>
      </c>
      <c r="Y68">
        <v>14600.98</v>
      </c>
    </row>
    <row r="69" spans="1:25">
      <c r="A69">
        <v>2020</v>
      </c>
      <c r="B69" t="s">
        <v>109</v>
      </c>
      <c r="C69" t="s">
        <v>1887</v>
      </c>
      <c r="D69">
        <v>8</v>
      </c>
      <c r="E69">
        <v>10</v>
      </c>
      <c r="F69">
        <v>42.07</v>
      </c>
      <c r="G69">
        <v>188.62</v>
      </c>
      <c r="H69" s="139">
        <v>44371</v>
      </c>
      <c r="I69" s="139">
        <v>44375</v>
      </c>
      <c r="J69" s="139">
        <v>44375</v>
      </c>
      <c r="K69" s="232" t="s">
        <v>1910</v>
      </c>
      <c r="L69" s="139" t="s">
        <v>1911</v>
      </c>
      <c r="M69" s="139">
        <v>44369</v>
      </c>
      <c r="P69" s="52" t="s">
        <v>1863</v>
      </c>
      <c r="Q69" s="52" t="s">
        <v>1885</v>
      </c>
      <c r="S69" s="52"/>
      <c r="U69">
        <f t="shared" si="9"/>
        <v>146.55000000000001</v>
      </c>
      <c r="W69" s="233">
        <f>U69/3</f>
        <v>48.85</v>
      </c>
      <c r="X69" s="247">
        <f>X68/SUM(U68,U69)</f>
        <v>2.4137829219322148E-3</v>
      </c>
    </row>
    <row r="70" spans="1:25">
      <c r="A70">
        <v>2020</v>
      </c>
      <c r="B70" t="s">
        <v>109</v>
      </c>
      <c r="C70" t="s">
        <v>1886</v>
      </c>
      <c r="D70">
        <v>4</v>
      </c>
      <c r="E70">
        <v>7</v>
      </c>
      <c r="F70">
        <v>41.86</v>
      </c>
      <c r="G70">
        <v>328.32</v>
      </c>
      <c r="H70" s="139">
        <v>44371</v>
      </c>
      <c r="I70" s="139">
        <v>44375</v>
      </c>
      <c r="J70" s="139">
        <v>44375</v>
      </c>
      <c r="K70" s="232" t="s">
        <v>1910</v>
      </c>
      <c r="L70" s="139" t="s">
        <v>1911</v>
      </c>
      <c r="M70" s="139">
        <v>44369</v>
      </c>
      <c r="P70" s="52" t="s">
        <v>1863</v>
      </c>
      <c r="Q70" s="52" t="s">
        <v>1885</v>
      </c>
      <c r="S70" s="52"/>
      <c r="U70">
        <f t="shared" si="9"/>
        <v>286.45999999999998</v>
      </c>
      <c r="V70" s="230">
        <f>((U70+U71)/7)*10</f>
        <v>709.71428571428555</v>
      </c>
      <c r="W70" s="233">
        <f>U70/4</f>
        <v>71.614999999999995</v>
      </c>
      <c r="X70" s="246">
        <f>ABS(W70-W71)</f>
        <v>1.5016666666666652</v>
      </c>
      <c r="Y70">
        <v>14564.31</v>
      </c>
    </row>
    <row r="71" spans="1:25">
      <c r="A71">
        <v>2020</v>
      </c>
      <c r="B71" t="s">
        <v>109</v>
      </c>
      <c r="C71" t="s">
        <v>1889</v>
      </c>
      <c r="D71">
        <v>8</v>
      </c>
      <c r="E71">
        <v>10</v>
      </c>
      <c r="F71">
        <v>40.28</v>
      </c>
      <c r="G71">
        <v>250.62</v>
      </c>
      <c r="H71" s="139">
        <v>44371</v>
      </c>
      <c r="I71" s="139">
        <v>44375</v>
      </c>
      <c r="J71" s="139">
        <v>44375</v>
      </c>
      <c r="K71" s="232" t="s">
        <v>1910</v>
      </c>
      <c r="L71" s="139" t="s">
        <v>1911</v>
      </c>
      <c r="M71" s="139">
        <v>44369</v>
      </c>
      <c r="P71" s="52" t="s">
        <v>1863</v>
      </c>
      <c r="Q71" s="52" t="s">
        <v>1885</v>
      </c>
      <c r="S71" s="52"/>
      <c r="U71">
        <f t="shared" si="9"/>
        <v>210.34</v>
      </c>
      <c r="W71" s="233">
        <f>U71/3</f>
        <v>70.11333333333333</v>
      </c>
      <c r="X71" s="247">
        <f>X70/SUM(U70,U71)</f>
        <v>3.0226784755770235E-3</v>
      </c>
    </row>
    <row r="72" spans="1:25">
      <c r="A72">
        <v>2020</v>
      </c>
      <c r="B72" t="s">
        <v>109</v>
      </c>
      <c r="C72">
        <v>13</v>
      </c>
      <c r="D72">
        <v>4</v>
      </c>
      <c r="E72">
        <v>10</v>
      </c>
      <c r="F72">
        <v>40.26</v>
      </c>
      <c r="G72">
        <v>411.11</v>
      </c>
      <c r="H72" s="139">
        <v>44371</v>
      </c>
      <c r="I72" s="139">
        <v>44375</v>
      </c>
      <c r="J72" s="139">
        <v>44375</v>
      </c>
      <c r="K72" s="232" t="s">
        <v>1910</v>
      </c>
      <c r="L72" s="139" t="s">
        <v>1911</v>
      </c>
      <c r="M72" s="139">
        <v>44369</v>
      </c>
      <c r="P72" s="52" t="s">
        <v>1863</v>
      </c>
      <c r="Q72" s="52" t="s">
        <v>1885</v>
      </c>
      <c r="S72" s="52"/>
      <c r="U72">
        <f t="shared" si="9"/>
        <v>370.85</v>
      </c>
      <c r="V72" s="230">
        <f t="shared" si="10"/>
        <v>529.78571428571433</v>
      </c>
      <c r="W72" s="51">
        <f t="shared" si="11"/>
        <v>52.978571428571435</v>
      </c>
      <c r="X72" s="89"/>
      <c r="Y72">
        <v>14613.46</v>
      </c>
    </row>
    <row r="73" spans="1:25">
      <c r="A73">
        <v>2020</v>
      </c>
      <c r="B73" t="s">
        <v>109</v>
      </c>
      <c r="C73">
        <v>14</v>
      </c>
      <c r="D73">
        <v>4</v>
      </c>
      <c r="E73">
        <v>10</v>
      </c>
      <c r="F73">
        <v>40.26</v>
      </c>
      <c r="G73">
        <v>442.01</v>
      </c>
      <c r="H73" s="139">
        <v>44371</v>
      </c>
      <c r="I73" s="139">
        <v>44375</v>
      </c>
      <c r="J73" s="139">
        <v>44375</v>
      </c>
      <c r="K73" s="232" t="s">
        <v>1910</v>
      </c>
      <c r="L73" s="139" t="s">
        <v>1911</v>
      </c>
      <c r="M73" s="139">
        <v>44369</v>
      </c>
      <c r="P73" s="52" t="s">
        <v>1863</v>
      </c>
      <c r="Q73" s="52" t="s">
        <v>1885</v>
      </c>
      <c r="S73" s="52"/>
      <c r="U73">
        <f t="shared" si="9"/>
        <v>401.75</v>
      </c>
      <c r="V73" s="230">
        <f t="shared" si="10"/>
        <v>573.92857142857144</v>
      </c>
      <c r="W73" s="51">
        <f t="shared" si="11"/>
        <v>57.392857142857146</v>
      </c>
      <c r="X73" s="243"/>
      <c r="Y73">
        <v>14608.53</v>
      </c>
    </row>
    <row r="74" spans="1:25">
      <c r="A74">
        <v>2020</v>
      </c>
      <c r="B74" t="s">
        <v>109</v>
      </c>
      <c r="C74">
        <v>15</v>
      </c>
      <c r="D74">
        <v>4</v>
      </c>
      <c r="E74">
        <v>10</v>
      </c>
      <c r="F74">
        <v>40.81</v>
      </c>
      <c r="G74">
        <v>418.16</v>
      </c>
      <c r="H74" s="139">
        <v>44371</v>
      </c>
      <c r="I74" s="139">
        <v>44375</v>
      </c>
      <c r="J74" s="139">
        <v>44375</v>
      </c>
      <c r="K74" s="232" t="s">
        <v>1910</v>
      </c>
      <c r="L74" s="139" t="s">
        <v>1911</v>
      </c>
      <c r="M74" s="139">
        <v>44369</v>
      </c>
      <c r="P74" s="52" t="s">
        <v>1863</v>
      </c>
      <c r="Q74" s="52" t="s">
        <v>1885</v>
      </c>
      <c r="S74" s="52"/>
      <c r="U74">
        <f t="shared" si="9"/>
        <v>377.35</v>
      </c>
      <c r="V74" s="230">
        <f t="shared" si="10"/>
        <v>539.07142857142856</v>
      </c>
      <c r="W74" s="51">
        <f t="shared" si="11"/>
        <v>53.907142857142858</v>
      </c>
      <c r="X74" s="234"/>
      <c r="Y74">
        <v>14931.27</v>
      </c>
    </row>
    <row r="75" spans="1:25">
      <c r="A75">
        <v>2020</v>
      </c>
      <c r="B75" t="s">
        <v>109</v>
      </c>
      <c r="C75">
        <v>16</v>
      </c>
      <c r="D75">
        <v>4</v>
      </c>
      <c r="E75">
        <v>10</v>
      </c>
      <c r="F75">
        <v>42.2</v>
      </c>
      <c r="G75">
        <v>345.53</v>
      </c>
      <c r="H75" s="139">
        <v>44371</v>
      </c>
      <c r="I75" s="139">
        <v>44375</v>
      </c>
      <c r="J75" s="139">
        <v>44375</v>
      </c>
      <c r="K75" s="232" t="s">
        <v>1910</v>
      </c>
      <c r="L75" s="139" t="s">
        <v>1911</v>
      </c>
      <c r="M75" s="139">
        <v>44369</v>
      </c>
      <c r="P75" s="52" t="s">
        <v>1863</v>
      </c>
      <c r="Q75" s="52" t="s">
        <v>1885</v>
      </c>
      <c r="S75" s="52"/>
      <c r="U75">
        <f t="shared" si="9"/>
        <v>303.33</v>
      </c>
      <c r="V75" s="230">
        <f t="shared" si="10"/>
        <v>433.32857142857142</v>
      </c>
      <c r="W75" s="51">
        <f t="shared" si="11"/>
        <v>43.332857142857144</v>
      </c>
      <c r="X75" s="89"/>
      <c r="Y75">
        <v>15053.12</v>
      </c>
    </row>
    <row r="76" spans="1:25">
      <c r="A76">
        <v>2020</v>
      </c>
      <c r="B76" t="s">
        <v>109</v>
      </c>
      <c r="C76">
        <v>17</v>
      </c>
      <c r="D76">
        <v>4</v>
      </c>
      <c r="E76">
        <v>10</v>
      </c>
      <c r="F76">
        <v>41.3</v>
      </c>
      <c r="G76">
        <v>237.31</v>
      </c>
      <c r="H76" s="139">
        <v>44371</v>
      </c>
      <c r="I76" s="139">
        <v>44375</v>
      </c>
      <c r="J76" s="139">
        <v>44375</v>
      </c>
      <c r="K76" s="232" t="s">
        <v>1910</v>
      </c>
      <c r="L76" s="139" t="s">
        <v>1911</v>
      </c>
      <c r="M76" s="139">
        <v>44369</v>
      </c>
      <c r="P76" s="52" t="s">
        <v>1863</v>
      </c>
      <c r="Q76" s="52" t="s">
        <v>1885</v>
      </c>
      <c r="S76" s="52"/>
      <c r="U76">
        <f t="shared" si="9"/>
        <v>196.01</v>
      </c>
      <c r="V76" s="230">
        <f t="shared" si="10"/>
        <v>280.01428571428568</v>
      </c>
      <c r="W76" s="51">
        <f t="shared" si="11"/>
        <v>28.001428571428569</v>
      </c>
      <c r="X76" s="89"/>
      <c r="Y76">
        <v>15067.94</v>
      </c>
    </row>
    <row r="77" spans="1:25">
      <c r="A77">
        <v>2020</v>
      </c>
      <c r="B77" t="s">
        <v>109</v>
      </c>
      <c r="C77">
        <v>18</v>
      </c>
      <c r="D77">
        <v>4</v>
      </c>
      <c r="E77">
        <v>10</v>
      </c>
      <c r="F77">
        <v>40.53</v>
      </c>
      <c r="G77">
        <v>286.85000000000002</v>
      </c>
      <c r="H77" s="139">
        <v>44371</v>
      </c>
      <c r="I77" s="139">
        <v>44375</v>
      </c>
      <c r="J77" s="139">
        <v>44375</v>
      </c>
      <c r="K77" s="232" t="s">
        <v>1910</v>
      </c>
      <c r="L77" s="139" t="s">
        <v>1911</v>
      </c>
      <c r="M77" s="139">
        <v>44369</v>
      </c>
      <c r="P77" s="52" t="s">
        <v>1863</v>
      </c>
      <c r="Q77" s="52" t="s">
        <v>1885</v>
      </c>
      <c r="S77" s="52"/>
      <c r="U77">
        <f t="shared" si="9"/>
        <v>246.32000000000002</v>
      </c>
      <c r="V77" s="230">
        <f t="shared" si="10"/>
        <v>351.8857142857143</v>
      </c>
      <c r="W77" s="51">
        <f t="shared" si="11"/>
        <v>35.188571428571429</v>
      </c>
      <c r="X77" s="243"/>
      <c r="Y77">
        <v>14993.89</v>
      </c>
    </row>
    <row r="78" spans="1:25">
      <c r="A78">
        <v>2020</v>
      </c>
      <c r="B78" t="s">
        <v>109</v>
      </c>
      <c r="C78">
        <v>19</v>
      </c>
      <c r="D78">
        <v>4</v>
      </c>
      <c r="E78">
        <v>10</v>
      </c>
      <c r="F78">
        <v>40.71</v>
      </c>
      <c r="G78">
        <v>210.38</v>
      </c>
      <c r="H78" s="139">
        <v>44371</v>
      </c>
      <c r="I78" s="139">
        <v>44375</v>
      </c>
      <c r="J78" s="139">
        <v>44375</v>
      </c>
      <c r="K78" s="232" t="s">
        <v>1910</v>
      </c>
      <c r="L78" s="139" t="s">
        <v>1911</v>
      </c>
      <c r="M78" s="139">
        <v>44369</v>
      </c>
      <c r="P78" s="52" t="s">
        <v>1863</v>
      </c>
      <c r="Q78" s="52" t="s">
        <v>1885</v>
      </c>
      <c r="S78" s="52"/>
      <c r="U78">
        <f t="shared" si="9"/>
        <v>169.67</v>
      </c>
      <c r="V78" s="230">
        <f t="shared" si="10"/>
        <v>242.38571428571424</v>
      </c>
      <c r="W78" s="51">
        <f t="shared" si="11"/>
        <v>24.238571428571426</v>
      </c>
      <c r="X78" s="234"/>
      <c r="Y78">
        <v>14673.99</v>
      </c>
    </row>
    <row r="79" spans="1:25">
      <c r="A79">
        <v>2020</v>
      </c>
      <c r="B79" t="s">
        <v>109</v>
      </c>
      <c r="C79">
        <v>20</v>
      </c>
      <c r="D79">
        <v>4</v>
      </c>
      <c r="E79">
        <v>10</v>
      </c>
      <c r="F79">
        <v>40.56</v>
      </c>
      <c r="G79">
        <v>216.6</v>
      </c>
      <c r="H79" s="139">
        <v>44371</v>
      </c>
      <c r="I79" s="139">
        <v>44375</v>
      </c>
      <c r="J79" s="139">
        <v>44375</v>
      </c>
      <c r="K79" s="232" t="s">
        <v>1910</v>
      </c>
      <c r="L79" s="139" t="s">
        <v>1911</v>
      </c>
      <c r="M79" s="139">
        <v>44369</v>
      </c>
      <c r="P79" s="52" t="s">
        <v>1863</v>
      </c>
      <c r="Q79" s="52" t="s">
        <v>1885</v>
      </c>
      <c r="S79" s="52"/>
      <c r="U79">
        <f t="shared" si="9"/>
        <v>176.04</v>
      </c>
      <c r="V79" s="230">
        <f t="shared" si="10"/>
        <v>251.48571428571427</v>
      </c>
      <c r="W79" s="51">
        <f t="shared" si="11"/>
        <v>25.148571428571426</v>
      </c>
      <c r="X79" s="243"/>
      <c r="Y79">
        <v>14988.69</v>
      </c>
    </row>
    <row r="80" spans="1:25">
      <c r="A80">
        <v>2020</v>
      </c>
      <c r="B80" t="s">
        <v>109</v>
      </c>
      <c r="C80">
        <v>21</v>
      </c>
      <c r="D80">
        <v>4</v>
      </c>
      <c r="E80">
        <v>10</v>
      </c>
      <c r="F80">
        <v>41.56</v>
      </c>
      <c r="G80">
        <v>275.74</v>
      </c>
      <c r="H80" s="139">
        <v>44371</v>
      </c>
      <c r="I80" s="139">
        <v>44375</v>
      </c>
      <c r="J80" s="139">
        <v>44375</v>
      </c>
      <c r="K80" s="232" t="s">
        <v>1910</v>
      </c>
      <c r="L80" s="139" t="s">
        <v>1911</v>
      </c>
      <c r="M80" s="139">
        <v>44369</v>
      </c>
      <c r="P80" s="52" t="s">
        <v>1863</v>
      </c>
      <c r="Q80" s="52" t="s">
        <v>1885</v>
      </c>
      <c r="S80" s="52"/>
      <c r="U80">
        <f t="shared" si="9"/>
        <v>234.18</v>
      </c>
      <c r="V80" s="230">
        <f t="shared" si="10"/>
        <v>334.5428571428572</v>
      </c>
      <c r="W80" s="51">
        <f t="shared" si="11"/>
        <v>33.454285714285717</v>
      </c>
      <c r="X80" s="234"/>
      <c r="Y80">
        <v>14610.81</v>
      </c>
    </row>
    <row r="81" spans="8:24">
      <c r="H81" s="139"/>
      <c r="I81" s="139"/>
      <c r="J81" s="139"/>
      <c r="P81" s="52"/>
      <c r="Q81" s="52"/>
      <c r="S81" s="52"/>
      <c r="W81" s="51"/>
      <c r="X81" s="243"/>
    </row>
    <row r="82" spans="8:24">
      <c r="H82" s="139"/>
      <c r="I82" s="139"/>
      <c r="J82" s="139"/>
      <c r="P82" s="52"/>
      <c r="Q82" s="52"/>
      <c r="S82" s="52"/>
      <c r="W82" s="51"/>
      <c r="X82" s="234"/>
    </row>
    <row r="83" spans="8:24">
      <c r="H83" s="139"/>
      <c r="I83" s="139"/>
      <c r="J83" s="139"/>
      <c r="P83" s="52"/>
      <c r="Q83" s="52"/>
      <c r="S83" s="52"/>
      <c r="W83" s="51"/>
      <c r="X83" s="243"/>
    </row>
    <row r="84" spans="8:24">
      <c r="H84" s="139"/>
      <c r="I84" s="139"/>
      <c r="J84" s="139"/>
      <c r="P84" s="52"/>
      <c r="Q84" s="52"/>
      <c r="S84" s="52"/>
      <c r="W84" s="51"/>
      <c r="X84" s="234"/>
    </row>
    <row r="85" spans="8:24">
      <c r="H85" s="139"/>
      <c r="I85" s="139"/>
      <c r="J85" s="139"/>
      <c r="P85" s="52"/>
      <c r="Q85" s="52"/>
      <c r="S85" s="52"/>
      <c r="W85" s="51"/>
      <c r="X85" s="243"/>
    </row>
    <row r="86" spans="8:24">
      <c r="H86" s="139"/>
      <c r="I86" s="139"/>
      <c r="J86" s="139"/>
      <c r="P86" s="52"/>
      <c r="Q86" s="52"/>
      <c r="S86" s="52"/>
      <c r="W86" s="51"/>
      <c r="X86" s="234"/>
    </row>
    <row r="87" spans="8:24">
      <c r="H87" s="139"/>
      <c r="I87" s="139"/>
      <c r="J87" s="139"/>
      <c r="P87" s="52"/>
      <c r="Q87" s="52"/>
      <c r="S87" s="52"/>
      <c r="W87" s="51"/>
      <c r="X87" s="243"/>
    </row>
    <row r="88" spans="8:24">
      <c r="H88" s="139"/>
      <c r="I88" s="139"/>
      <c r="J88" s="139"/>
      <c r="P88" s="52"/>
      <c r="Q88" s="52"/>
      <c r="S88" s="52"/>
      <c r="W88" s="51"/>
      <c r="X88" s="234"/>
    </row>
  </sheetData>
  <conditionalFormatting sqref="U1:U4">
    <cfRule type="cellIs" dxfId="6" priority="1" operator="lessThan">
      <formula>10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56C63-355C-4FEF-8B7C-F924CB663767}">
  <dimension ref="A1:G73"/>
  <sheetViews>
    <sheetView workbookViewId="0">
      <selection activeCell="I5" sqref="I5"/>
    </sheetView>
  </sheetViews>
  <sheetFormatPr defaultRowHeight="15"/>
  <cols>
    <col min="1" max="1" width="52.85546875" bestFit="1" customWidth="1"/>
    <col min="2" max="2" width="9" bestFit="1" customWidth="1"/>
    <col min="3" max="3" width="11.140625" bestFit="1" customWidth="1"/>
    <col min="4" max="4" width="5" bestFit="1" customWidth="1"/>
    <col min="5" max="5" width="8.28515625" bestFit="1" customWidth="1"/>
    <col min="6" max="6" width="6.42578125" bestFit="1" customWidth="1"/>
    <col min="7" max="7" width="7" bestFit="1" customWidth="1"/>
  </cols>
  <sheetData>
    <row r="1" spans="1:7">
      <c r="A1" s="326" t="s">
        <v>2025</v>
      </c>
      <c r="B1" s="51"/>
      <c r="C1" s="51"/>
      <c r="D1" s="51"/>
      <c r="E1" s="51"/>
      <c r="F1" s="51"/>
      <c r="G1" s="51"/>
    </row>
    <row r="2" spans="1:7">
      <c r="A2" s="326" t="s">
        <v>2026</v>
      </c>
      <c r="B2" s="51"/>
      <c r="C2" s="51"/>
      <c r="D2" s="51"/>
      <c r="E2" s="51"/>
      <c r="F2" s="51"/>
      <c r="G2" s="51"/>
    </row>
    <row r="3" spans="1:7">
      <c r="A3" s="51" t="s">
        <v>2027</v>
      </c>
      <c r="B3" s="51"/>
      <c r="C3" s="51"/>
      <c r="D3" s="51"/>
      <c r="E3" s="51"/>
      <c r="F3" s="51"/>
      <c r="G3" s="51"/>
    </row>
    <row r="4" spans="1:7">
      <c r="A4" s="89" t="s">
        <v>2028</v>
      </c>
      <c r="B4" s="51"/>
      <c r="C4" s="51"/>
      <c r="D4" s="51"/>
      <c r="E4" s="51"/>
      <c r="F4" s="51"/>
      <c r="G4" s="51"/>
    </row>
    <row r="5" spans="1:7">
      <c r="A5" s="327" t="s">
        <v>2029</v>
      </c>
      <c r="B5" s="327" t="s">
        <v>1868</v>
      </c>
      <c r="C5" s="327" t="s">
        <v>1723</v>
      </c>
      <c r="D5" s="327" t="s">
        <v>165</v>
      </c>
      <c r="E5" s="327" t="s">
        <v>164</v>
      </c>
      <c r="F5" s="327" t="s">
        <v>163</v>
      </c>
      <c r="G5" s="327" t="s">
        <v>2030</v>
      </c>
    </row>
    <row r="6" spans="1:7">
      <c r="A6" s="328">
        <v>44382</v>
      </c>
      <c r="B6" s="327" t="s">
        <v>1908</v>
      </c>
      <c r="C6" s="327" t="s">
        <v>2031</v>
      </c>
      <c r="D6" s="327">
        <v>2020</v>
      </c>
      <c r="E6" s="327" t="s">
        <v>105</v>
      </c>
      <c r="F6" s="327">
        <v>1</v>
      </c>
      <c r="G6" s="327">
        <v>2807.2</v>
      </c>
    </row>
    <row r="7" spans="1:7">
      <c r="A7" s="328">
        <v>44382</v>
      </c>
      <c r="B7" s="327" t="s">
        <v>1908</v>
      </c>
      <c r="C7" s="327" t="s">
        <v>2031</v>
      </c>
      <c r="D7" s="327">
        <v>2020</v>
      </c>
      <c r="E7" s="327" t="s">
        <v>105</v>
      </c>
      <c r="F7" s="327">
        <v>2</v>
      </c>
      <c r="G7" s="327">
        <v>3095.6</v>
      </c>
    </row>
    <row r="8" spans="1:7">
      <c r="A8" s="328">
        <v>44382</v>
      </c>
      <c r="B8" s="327" t="s">
        <v>1908</v>
      </c>
      <c r="C8" s="327" t="s">
        <v>2031</v>
      </c>
      <c r="D8" s="327">
        <v>2020</v>
      </c>
      <c r="E8" s="327" t="s">
        <v>105</v>
      </c>
      <c r="F8" s="327">
        <v>3</v>
      </c>
      <c r="G8" s="327">
        <v>2909.8</v>
      </c>
    </row>
    <row r="9" spans="1:7">
      <c r="A9" s="328">
        <v>44382</v>
      </c>
      <c r="B9" s="327" t="s">
        <v>1908</v>
      </c>
      <c r="C9" s="327" t="s">
        <v>2031</v>
      </c>
      <c r="D9" s="327">
        <v>2020</v>
      </c>
      <c r="E9" s="327" t="s">
        <v>105</v>
      </c>
      <c r="F9" s="327">
        <v>4</v>
      </c>
      <c r="G9" s="327">
        <v>2649.8</v>
      </c>
    </row>
    <row r="10" spans="1:7">
      <c r="A10" s="328">
        <v>44382</v>
      </c>
      <c r="B10" s="327" t="s">
        <v>1908</v>
      </c>
      <c r="C10" s="327" t="s">
        <v>2031</v>
      </c>
      <c r="D10" s="327">
        <v>2020</v>
      </c>
      <c r="E10" s="327" t="s">
        <v>105</v>
      </c>
      <c r="F10" s="327" t="s">
        <v>2032</v>
      </c>
      <c r="G10" s="327">
        <v>3224</v>
      </c>
    </row>
    <row r="11" spans="1:7">
      <c r="A11" s="328">
        <v>44382</v>
      </c>
      <c r="B11" s="327" t="s">
        <v>1908</v>
      </c>
      <c r="C11" s="327" t="s">
        <v>2031</v>
      </c>
      <c r="D11" s="327">
        <v>2020</v>
      </c>
      <c r="E11" s="327" t="s">
        <v>105</v>
      </c>
      <c r="F11" s="327" t="s">
        <v>2033</v>
      </c>
      <c r="G11" s="327">
        <v>3549.9</v>
      </c>
    </row>
    <row r="12" spans="1:7">
      <c r="A12" s="328">
        <v>44382</v>
      </c>
      <c r="B12" s="327" t="s">
        <v>1908</v>
      </c>
      <c r="C12" s="327" t="s">
        <v>2031</v>
      </c>
      <c r="D12" s="327">
        <v>2020</v>
      </c>
      <c r="E12" s="327" t="s">
        <v>105</v>
      </c>
      <c r="F12" s="327">
        <v>6</v>
      </c>
      <c r="G12" s="327">
        <v>3048.4</v>
      </c>
    </row>
    <row r="13" spans="1:7">
      <c r="A13" s="328">
        <v>44382</v>
      </c>
      <c r="B13" s="327" t="s">
        <v>1908</v>
      </c>
      <c r="C13" s="327" t="s">
        <v>2031</v>
      </c>
      <c r="D13" s="327">
        <v>2020</v>
      </c>
      <c r="E13" s="327" t="s">
        <v>105</v>
      </c>
      <c r="F13" s="327">
        <v>7</v>
      </c>
      <c r="G13" s="327">
        <v>3209.4</v>
      </c>
    </row>
    <row r="14" spans="1:7">
      <c r="A14" s="328">
        <v>44382</v>
      </c>
      <c r="B14" s="327" t="s">
        <v>1908</v>
      </c>
      <c r="C14" s="327" t="s">
        <v>2031</v>
      </c>
      <c r="D14" s="327">
        <v>2020</v>
      </c>
      <c r="E14" s="327" t="s">
        <v>105</v>
      </c>
      <c r="F14" s="327">
        <v>8</v>
      </c>
      <c r="G14" s="327">
        <v>3007.7</v>
      </c>
    </row>
    <row r="15" spans="1:7">
      <c r="A15" s="328">
        <v>44382</v>
      </c>
      <c r="B15" s="327" t="s">
        <v>1908</v>
      </c>
      <c r="C15" s="327" t="s">
        <v>2031</v>
      </c>
      <c r="D15" s="327">
        <v>2020</v>
      </c>
      <c r="E15" s="327" t="s">
        <v>105</v>
      </c>
      <c r="F15" s="327">
        <v>9</v>
      </c>
      <c r="G15" s="327">
        <v>2429.9</v>
      </c>
    </row>
    <row r="16" spans="1:7">
      <c r="A16" s="328">
        <v>44382</v>
      </c>
      <c r="B16" s="327" t="s">
        <v>1908</v>
      </c>
      <c r="C16" s="327" t="s">
        <v>2031</v>
      </c>
      <c r="D16" s="327">
        <v>2020</v>
      </c>
      <c r="E16" s="327" t="s">
        <v>105</v>
      </c>
      <c r="F16" s="327">
        <v>10</v>
      </c>
      <c r="G16" s="327">
        <v>2625.5</v>
      </c>
    </row>
    <row r="17" spans="1:7">
      <c r="A17" s="328">
        <v>44382</v>
      </c>
      <c r="B17" s="327" t="s">
        <v>1908</v>
      </c>
      <c r="C17" s="327" t="s">
        <v>2031</v>
      </c>
      <c r="D17" s="327">
        <v>2020</v>
      </c>
      <c r="E17" s="327" t="s">
        <v>105</v>
      </c>
      <c r="F17" s="327">
        <v>11</v>
      </c>
      <c r="G17" s="327">
        <v>2797.3</v>
      </c>
    </row>
    <row r="18" spans="1:7">
      <c r="A18" s="328">
        <v>44382</v>
      </c>
      <c r="B18" s="327" t="s">
        <v>1908</v>
      </c>
      <c r="C18" s="327" t="s">
        <v>2031</v>
      </c>
      <c r="D18" s="327">
        <v>2020</v>
      </c>
      <c r="E18" s="327" t="s">
        <v>105</v>
      </c>
      <c r="F18" s="327">
        <v>12</v>
      </c>
      <c r="G18" s="327">
        <v>3333.1</v>
      </c>
    </row>
    <row r="19" spans="1:7">
      <c r="A19" s="328">
        <v>44382</v>
      </c>
      <c r="B19" s="327" t="s">
        <v>1908</v>
      </c>
      <c r="C19" s="327" t="s">
        <v>2031</v>
      </c>
      <c r="D19" s="327">
        <v>2020</v>
      </c>
      <c r="E19" s="327" t="s">
        <v>105</v>
      </c>
      <c r="F19" s="327" t="s">
        <v>1890</v>
      </c>
      <c r="G19" s="327">
        <v>2511.1999999999998</v>
      </c>
    </row>
    <row r="20" spans="1:7">
      <c r="A20" s="328">
        <v>44382</v>
      </c>
      <c r="B20" s="327" t="s">
        <v>1908</v>
      </c>
      <c r="C20" s="327" t="s">
        <v>2031</v>
      </c>
      <c r="D20" s="327">
        <v>2020</v>
      </c>
      <c r="E20" s="327" t="s">
        <v>105</v>
      </c>
      <c r="F20" s="327" t="s">
        <v>1891</v>
      </c>
      <c r="G20" s="327">
        <v>2973.2</v>
      </c>
    </row>
    <row r="21" spans="1:7">
      <c r="A21" s="328">
        <v>44382</v>
      </c>
      <c r="B21" s="327" t="s">
        <v>1908</v>
      </c>
      <c r="C21" s="327" t="s">
        <v>2031</v>
      </c>
      <c r="D21" s="327">
        <v>2020</v>
      </c>
      <c r="E21" s="327" t="s">
        <v>105</v>
      </c>
      <c r="F21" s="327">
        <v>14</v>
      </c>
      <c r="G21" s="327">
        <v>3454.3</v>
      </c>
    </row>
    <row r="22" spans="1:7">
      <c r="A22" s="328">
        <v>44382</v>
      </c>
      <c r="B22" s="327" t="s">
        <v>1908</v>
      </c>
      <c r="C22" s="327" t="s">
        <v>2031</v>
      </c>
      <c r="D22" s="327">
        <v>2020</v>
      </c>
      <c r="E22" s="327" t="s">
        <v>105</v>
      </c>
      <c r="F22" s="327">
        <v>15</v>
      </c>
      <c r="G22" s="327">
        <v>3106.4</v>
      </c>
    </row>
    <row r="23" spans="1:7">
      <c r="A23" s="328">
        <v>44382</v>
      </c>
      <c r="B23" s="327" t="s">
        <v>1908</v>
      </c>
      <c r="C23" s="327" t="s">
        <v>2031</v>
      </c>
      <c r="D23" s="327">
        <v>2020</v>
      </c>
      <c r="E23" s="327" t="s">
        <v>105</v>
      </c>
      <c r="F23" s="327" t="s">
        <v>2010</v>
      </c>
      <c r="G23" s="327">
        <v>3212.1</v>
      </c>
    </row>
    <row r="24" spans="1:7">
      <c r="A24" s="328">
        <v>44382</v>
      </c>
      <c r="B24" s="327" t="s">
        <v>1908</v>
      </c>
      <c r="C24" s="327" t="s">
        <v>2031</v>
      </c>
      <c r="D24" s="327">
        <v>2020</v>
      </c>
      <c r="E24" s="327" t="s">
        <v>105</v>
      </c>
      <c r="F24" s="327">
        <v>18</v>
      </c>
      <c r="G24" s="327">
        <v>2521.6</v>
      </c>
    </row>
    <row r="25" spans="1:7">
      <c r="A25" s="328">
        <v>44382</v>
      </c>
      <c r="B25" s="327" t="s">
        <v>1908</v>
      </c>
      <c r="C25" s="327" t="s">
        <v>2031</v>
      </c>
      <c r="D25" s="327">
        <v>2020</v>
      </c>
      <c r="E25" s="327" t="s">
        <v>105</v>
      </c>
      <c r="F25" s="327">
        <v>19</v>
      </c>
      <c r="G25" s="327">
        <v>3008.7</v>
      </c>
    </row>
    <row r="26" spans="1:7">
      <c r="A26" s="328">
        <v>44382</v>
      </c>
      <c r="B26" s="327" t="s">
        <v>1908</v>
      </c>
      <c r="C26" s="327" t="s">
        <v>2031</v>
      </c>
      <c r="D26" s="327">
        <v>2020</v>
      </c>
      <c r="E26" s="327" t="s">
        <v>105</v>
      </c>
      <c r="F26" s="327">
        <v>20</v>
      </c>
      <c r="G26" s="327">
        <v>2673.2</v>
      </c>
    </row>
    <row r="27" spans="1:7" ht="15.75" thickBot="1">
      <c r="A27" s="328">
        <v>44382</v>
      </c>
      <c r="B27" s="327" t="s">
        <v>1908</v>
      </c>
      <c r="C27" s="327" t="s">
        <v>2031</v>
      </c>
      <c r="D27" s="329">
        <v>2020</v>
      </c>
      <c r="E27" s="329" t="s">
        <v>105</v>
      </c>
      <c r="F27" s="329">
        <v>21</v>
      </c>
      <c r="G27" s="329">
        <v>3077.9</v>
      </c>
    </row>
    <row r="28" spans="1:7">
      <c r="A28" s="328">
        <v>44382</v>
      </c>
      <c r="B28" s="327" t="s">
        <v>1908</v>
      </c>
      <c r="C28" s="327" t="s">
        <v>2031</v>
      </c>
      <c r="D28" s="330">
        <v>2020</v>
      </c>
      <c r="E28" s="330" t="s">
        <v>108</v>
      </c>
      <c r="F28" s="330">
        <v>1</v>
      </c>
      <c r="G28" s="330">
        <v>3279.5</v>
      </c>
    </row>
    <row r="29" spans="1:7">
      <c r="A29" s="328">
        <v>44382</v>
      </c>
      <c r="B29" s="327" t="s">
        <v>1904</v>
      </c>
      <c r="C29" s="327" t="s">
        <v>2034</v>
      </c>
      <c r="D29" s="327">
        <v>2020</v>
      </c>
      <c r="E29" s="327" t="s">
        <v>108</v>
      </c>
      <c r="F29" s="327">
        <v>2</v>
      </c>
      <c r="G29" s="327">
        <v>2694.3</v>
      </c>
    </row>
    <row r="30" spans="1:7">
      <c r="A30" s="328">
        <v>44382</v>
      </c>
      <c r="B30" s="327" t="s">
        <v>1904</v>
      </c>
      <c r="C30" s="327" t="s">
        <v>2034</v>
      </c>
      <c r="D30" s="327">
        <v>2020</v>
      </c>
      <c r="E30" s="327" t="s">
        <v>108</v>
      </c>
      <c r="F30" s="327">
        <v>3</v>
      </c>
      <c r="G30" s="327">
        <v>3153.5</v>
      </c>
    </row>
    <row r="31" spans="1:7">
      <c r="A31" s="328">
        <v>44382</v>
      </c>
      <c r="B31" s="327" t="s">
        <v>1904</v>
      </c>
      <c r="C31" s="327" t="s">
        <v>2034</v>
      </c>
      <c r="D31" s="327">
        <v>2020</v>
      </c>
      <c r="E31" s="327" t="s">
        <v>108</v>
      </c>
      <c r="F31" s="327">
        <v>4</v>
      </c>
      <c r="G31" s="327">
        <v>3094.9</v>
      </c>
    </row>
    <row r="32" spans="1:7">
      <c r="A32" s="328">
        <v>44382</v>
      </c>
      <c r="B32" s="327" t="s">
        <v>1904</v>
      </c>
      <c r="C32" s="327" t="s">
        <v>2034</v>
      </c>
      <c r="D32" s="327">
        <v>2020</v>
      </c>
      <c r="E32" s="327" t="s">
        <v>108</v>
      </c>
      <c r="F32" s="327">
        <v>5</v>
      </c>
      <c r="G32" s="327">
        <v>2775.8</v>
      </c>
    </row>
    <row r="33" spans="1:7">
      <c r="A33" s="328">
        <v>44382</v>
      </c>
      <c r="B33" s="327" t="s">
        <v>1904</v>
      </c>
      <c r="C33" s="327" t="s">
        <v>2034</v>
      </c>
      <c r="D33" s="327">
        <v>2020</v>
      </c>
      <c r="E33" s="327" t="s">
        <v>108</v>
      </c>
      <c r="F33" s="327">
        <v>6</v>
      </c>
      <c r="G33" s="327">
        <v>3279.2</v>
      </c>
    </row>
    <row r="34" spans="1:7">
      <c r="A34" s="328">
        <v>44382</v>
      </c>
      <c r="B34" s="327" t="s">
        <v>1904</v>
      </c>
      <c r="C34" s="327" t="s">
        <v>2034</v>
      </c>
      <c r="D34" s="327">
        <v>2020</v>
      </c>
      <c r="E34" s="327" t="s">
        <v>108</v>
      </c>
      <c r="F34" s="327">
        <v>7</v>
      </c>
      <c r="G34" s="327">
        <v>2658.3</v>
      </c>
    </row>
    <row r="35" spans="1:7">
      <c r="A35" s="328">
        <v>44382</v>
      </c>
      <c r="B35" s="327" t="s">
        <v>1904</v>
      </c>
      <c r="C35" s="327" t="s">
        <v>2034</v>
      </c>
      <c r="D35" s="327">
        <v>2020</v>
      </c>
      <c r="E35" s="327" t="s">
        <v>108</v>
      </c>
      <c r="F35" s="327">
        <v>8</v>
      </c>
      <c r="G35" s="327">
        <v>3147.1</v>
      </c>
    </row>
    <row r="36" spans="1:7">
      <c r="A36" s="328">
        <v>44382</v>
      </c>
      <c r="B36" s="327" t="s">
        <v>1904</v>
      </c>
      <c r="C36" s="327" t="s">
        <v>2034</v>
      </c>
      <c r="D36" s="327">
        <v>2020</v>
      </c>
      <c r="E36" s="327" t="s">
        <v>108</v>
      </c>
      <c r="F36" s="327">
        <v>9</v>
      </c>
      <c r="G36" s="327">
        <v>2473.1999999999998</v>
      </c>
    </row>
    <row r="37" spans="1:7">
      <c r="A37" s="328">
        <v>44382</v>
      </c>
      <c r="B37" s="327" t="s">
        <v>1904</v>
      </c>
      <c r="C37" s="327" t="s">
        <v>2034</v>
      </c>
      <c r="D37" s="327">
        <v>2020</v>
      </c>
      <c r="E37" s="327" t="s">
        <v>108</v>
      </c>
      <c r="F37" s="327">
        <v>10</v>
      </c>
      <c r="G37" s="327">
        <v>2691.1</v>
      </c>
    </row>
    <row r="38" spans="1:7">
      <c r="A38" s="328">
        <v>44382</v>
      </c>
      <c r="B38" s="327" t="s">
        <v>1904</v>
      </c>
      <c r="C38" s="327" t="s">
        <v>2034</v>
      </c>
      <c r="D38" s="327">
        <v>2020</v>
      </c>
      <c r="E38" s="327" t="s">
        <v>108</v>
      </c>
      <c r="F38" s="327" t="s">
        <v>1888</v>
      </c>
      <c r="G38" s="327">
        <v>2757.1</v>
      </c>
    </row>
    <row r="39" spans="1:7">
      <c r="A39" s="328">
        <v>44382</v>
      </c>
      <c r="B39" s="327" t="s">
        <v>1904</v>
      </c>
      <c r="C39" s="327" t="s">
        <v>2034</v>
      </c>
      <c r="D39" s="327">
        <v>2020</v>
      </c>
      <c r="E39" s="327" t="s">
        <v>108</v>
      </c>
      <c r="F39" s="327" t="s">
        <v>1887</v>
      </c>
      <c r="G39" s="327">
        <v>2887.9</v>
      </c>
    </row>
    <row r="40" spans="1:7">
      <c r="A40" s="328">
        <v>44382</v>
      </c>
      <c r="B40" s="327" t="s">
        <v>1904</v>
      </c>
      <c r="C40" s="327" t="s">
        <v>2034</v>
      </c>
      <c r="D40" s="327">
        <v>2020</v>
      </c>
      <c r="E40" s="327" t="s">
        <v>108</v>
      </c>
      <c r="F40" s="327">
        <v>12</v>
      </c>
      <c r="G40" s="327">
        <v>2682.4</v>
      </c>
    </row>
    <row r="41" spans="1:7">
      <c r="A41" s="328">
        <v>44382</v>
      </c>
      <c r="B41" s="327" t="s">
        <v>1904</v>
      </c>
      <c r="C41" s="327" t="s">
        <v>2034</v>
      </c>
      <c r="D41" s="327">
        <v>2020</v>
      </c>
      <c r="E41" s="327" t="s">
        <v>108</v>
      </c>
      <c r="F41" s="327">
        <v>13</v>
      </c>
      <c r="G41" s="327">
        <v>2825.7</v>
      </c>
    </row>
    <row r="42" spans="1:7">
      <c r="A42" s="328">
        <v>44382</v>
      </c>
      <c r="B42" s="327" t="s">
        <v>1904</v>
      </c>
      <c r="C42" s="327" t="s">
        <v>2034</v>
      </c>
      <c r="D42" s="327">
        <v>2020</v>
      </c>
      <c r="E42" s="327" t="s">
        <v>108</v>
      </c>
      <c r="F42" s="327" t="s">
        <v>1900</v>
      </c>
      <c r="G42" s="327">
        <v>3020.7</v>
      </c>
    </row>
    <row r="43" spans="1:7">
      <c r="A43" s="328">
        <v>44382</v>
      </c>
      <c r="B43" s="327" t="s">
        <v>1904</v>
      </c>
      <c r="C43" s="327" t="s">
        <v>2034</v>
      </c>
      <c r="D43" s="327">
        <v>2020</v>
      </c>
      <c r="E43" s="327" t="s">
        <v>108</v>
      </c>
      <c r="F43" s="327" t="s">
        <v>1901</v>
      </c>
      <c r="G43" s="327">
        <v>2541.4</v>
      </c>
    </row>
    <row r="44" spans="1:7">
      <c r="A44" s="328">
        <v>44382</v>
      </c>
      <c r="B44" s="327" t="s">
        <v>1904</v>
      </c>
      <c r="C44" s="327" t="s">
        <v>2034</v>
      </c>
      <c r="D44" s="327">
        <v>2020</v>
      </c>
      <c r="E44" s="327" t="s">
        <v>108</v>
      </c>
      <c r="F44" s="327">
        <v>15</v>
      </c>
      <c r="G44" s="327">
        <v>3015.8</v>
      </c>
    </row>
    <row r="45" spans="1:7">
      <c r="A45" s="328">
        <v>44382</v>
      </c>
      <c r="B45" s="327" t="s">
        <v>1904</v>
      </c>
      <c r="C45" s="327" t="s">
        <v>2034</v>
      </c>
      <c r="D45" s="327">
        <v>2020</v>
      </c>
      <c r="E45" s="327" t="s">
        <v>108</v>
      </c>
      <c r="F45" s="327">
        <v>16</v>
      </c>
      <c r="G45" s="327">
        <v>2775.7</v>
      </c>
    </row>
    <row r="46" spans="1:7">
      <c r="A46" s="328">
        <v>44382</v>
      </c>
      <c r="B46" s="327" t="s">
        <v>1904</v>
      </c>
      <c r="C46" s="327" t="s">
        <v>2034</v>
      </c>
      <c r="D46" s="327">
        <v>2020</v>
      </c>
      <c r="E46" s="327" t="s">
        <v>108</v>
      </c>
      <c r="F46" s="327">
        <v>17</v>
      </c>
      <c r="G46" s="327">
        <v>3109.2</v>
      </c>
    </row>
    <row r="47" spans="1:7">
      <c r="A47" s="328">
        <v>44382</v>
      </c>
      <c r="B47" s="327" t="s">
        <v>1904</v>
      </c>
      <c r="C47" s="327" t="s">
        <v>2034</v>
      </c>
      <c r="D47" s="327">
        <v>2020</v>
      </c>
      <c r="E47" s="327" t="s">
        <v>108</v>
      </c>
      <c r="F47" s="327">
        <v>18</v>
      </c>
      <c r="G47" s="327">
        <v>3044.1</v>
      </c>
    </row>
    <row r="48" spans="1:7">
      <c r="A48" s="328">
        <v>44382</v>
      </c>
      <c r="B48" s="327" t="s">
        <v>1904</v>
      </c>
      <c r="C48" s="327" t="s">
        <v>2034</v>
      </c>
      <c r="D48" s="327">
        <v>2020</v>
      </c>
      <c r="E48" s="327" t="s">
        <v>108</v>
      </c>
      <c r="F48" s="327">
        <v>19</v>
      </c>
      <c r="G48" s="327">
        <v>2393.1999999999998</v>
      </c>
    </row>
    <row r="49" spans="1:7">
      <c r="A49" s="328">
        <v>44382</v>
      </c>
      <c r="B49" s="327" t="s">
        <v>1904</v>
      </c>
      <c r="C49" s="327" t="s">
        <v>2034</v>
      </c>
      <c r="D49" s="327">
        <v>2020</v>
      </c>
      <c r="E49" s="327" t="s">
        <v>108</v>
      </c>
      <c r="F49" s="327">
        <v>20</v>
      </c>
      <c r="G49" s="327">
        <v>2581.3000000000002</v>
      </c>
    </row>
    <row r="50" spans="1:7" ht="15.75" thickBot="1">
      <c r="A50" s="328">
        <v>44382</v>
      </c>
      <c r="B50" s="327" t="s">
        <v>1904</v>
      </c>
      <c r="C50" s="327" t="s">
        <v>2034</v>
      </c>
      <c r="D50" s="329">
        <v>2020</v>
      </c>
      <c r="E50" s="329" t="s">
        <v>108</v>
      </c>
      <c r="F50" s="329">
        <v>21</v>
      </c>
      <c r="G50" s="329">
        <v>3539.1</v>
      </c>
    </row>
    <row r="51" spans="1:7">
      <c r="A51" s="328">
        <v>44382</v>
      </c>
      <c r="B51" s="330" t="s">
        <v>2035</v>
      </c>
      <c r="C51" s="330" t="s">
        <v>2036</v>
      </c>
      <c r="D51" s="330">
        <v>2020</v>
      </c>
      <c r="E51" s="330" t="s">
        <v>109</v>
      </c>
      <c r="F51" s="330">
        <v>1</v>
      </c>
      <c r="G51" s="330">
        <v>3377.1</v>
      </c>
    </row>
    <row r="52" spans="1:7">
      <c r="A52" s="328">
        <v>44382</v>
      </c>
      <c r="B52" s="330" t="s">
        <v>2035</v>
      </c>
      <c r="C52" s="330" t="s">
        <v>2036</v>
      </c>
      <c r="D52" s="327">
        <v>2020</v>
      </c>
      <c r="E52" s="327" t="s">
        <v>109</v>
      </c>
      <c r="F52" s="327">
        <v>2</v>
      </c>
      <c r="G52" s="327">
        <v>2334.6999999999998</v>
      </c>
    </row>
    <row r="53" spans="1:7">
      <c r="A53" s="328">
        <v>44382</v>
      </c>
      <c r="B53" s="330" t="s">
        <v>2035</v>
      </c>
      <c r="C53" s="330" t="s">
        <v>2036</v>
      </c>
      <c r="D53" s="327">
        <v>2020</v>
      </c>
      <c r="E53" s="327" t="s">
        <v>109</v>
      </c>
      <c r="F53" s="327">
        <v>3</v>
      </c>
      <c r="G53" s="327">
        <v>3230.9</v>
      </c>
    </row>
    <row r="54" spans="1:7">
      <c r="A54" s="328">
        <v>44382</v>
      </c>
      <c r="B54" s="330" t="s">
        <v>2035</v>
      </c>
      <c r="C54" s="330" t="s">
        <v>2036</v>
      </c>
      <c r="D54" s="327">
        <v>2020</v>
      </c>
      <c r="E54" s="327" t="s">
        <v>109</v>
      </c>
      <c r="F54" s="327">
        <v>4</v>
      </c>
      <c r="G54" s="327">
        <v>3056.4</v>
      </c>
    </row>
    <row r="55" spans="1:7">
      <c r="A55" s="328">
        <v>44382</v>
      </c>
      <c r="B55" s="330" t="s">
        <v>2035</v>
      </c>
      <c r="C55" s="330" t="s">
        <v>2036</v>
      </c>
      <c r="D55" s="327">
        <v>2020</v>
      </c>
      <c r="E55" s="327" t="s">
        <v>109</v>
      </c>
      <c r="F55" s="327">
        <v>5</v>
      </c>
      <c r="G55" s="327">
        <v>2965.3</v>
      </c>
    </row>
    <row r="56" spans="1:7">
      <c r="A56" s="328">
        <v>44382</v>
      </c>
      <c r="B56" s="330" t="s">
        <v>2035</v>
      </c>
      <c r="C56" s="330" t="s">
        <v>2036</v>
      </c>
      <c r="D56" s="327">
        <v>2020</v>
      </c>
      <c r="E56" s="327" t="s">
        <v>109</v>
      </c>
      <c r="F56" s="327">
        <v>6</v>
      </c>
      <c r="G56" s="327">
        <v>3078.9</v>
      </c>
    </row>
    <row r="57" spans="1:7">
      <c r="A57" s="328">
        <v>44382</v>
      </c>
      <c r="B57" s="330" t="s">
        <v>2035</v>
      </c>
      <c r="C57" s="330" t="s">
        <v>2036</v>
      </c>
      <c r="D57" s="327">
        <v>2020</v>
      </c>
      <c r="E57" s="327" t="s">
        <v>109</v>
      </c>
      <c r="F57" s="327">
        <v>7</v>
      </c>
      <c r="G57" s="327">
        <v>2788.6</v>
      </c>
    </row>
    <row r="58" spans="1:7">
      <c r="A58" s="328">
        <v>44382</v>
      </c>
      <c r="B58" s="330" t="s">
        <v>2035</v>
      </c>
      <c r="C58" s="330" t="s">
        <v>2036</v>
      </c>
      <c r="D58" s="327">
        <v>2020</v>
      </c>
      <c r="E58" s="327" t="s">
        <v>109</v>
      </c>
      <c r="F58" s="327">
        <v>8</v>
      </c>
      <c r="G58" s="327">
        <v>2877.6</v>
      </c>
    </row>
    <row r="59" spans="1:7">
      <c r="A59" s="328">
        <v>44382</v>
      </c>
      <c r="B59" s="330" t="s">
        <v>2035</v>
      </c>
      <c r="C59" s="330" t="s">
        <v>2036</v>
      </c>
      <c r="D59" s="327">
        <v>2020</v>
      </c>
      <c r="E59" s="327" t="s">
        <v>109</v>
      </c>
      <c r="F59" s="327">
        <v>9</v>
      </c>
      <c r="G59" s="327">
        <v>2837.2</v>
      </c>
    </row>
    <row r="60" spans="1:7">
      <c r="A60" s="328">
        <v>44382</v>
      </c>
      <c r="B60" s="330" t="s">
        <v>2035</v>
      </c>
      <c r="C60" s="330" t="s">
        <v>2036</v>
      </c>
      <c r="D60" s="327">
        <v>2020</v>
      </c>
      <c r="E60" s="327" t="s">
        <v>109</v>
      </c>
      <c r="F60" s="327">
        <v>10</v>
      </c>
      <c r="G60" s="327">
        <v>3109.9</v>
      </c>
    </row>
    <row r="61" spans="1:7">
      <c r="A61" s="328">
        <v>44382</v>
      </c>
      <c r="B61" s="330" t="s">
        <v>2035</v>
      </c>
      <c r="C61" s="330" t="s">
        <v>2036</v>
      </c>
      <c r="D61" s="327">
        <v>2020</v>
      </c>
      <c r="E61" s="327" t="s">
        <v>109</v>
      </c>
      <c r="F61" s="327">
        <v>11</v>
      </c>
      <c r="G61" s="327">
        <v>2621.1</v>
      </c>
    </row>
    <row r="62" spans="1:7">
      <c r="A62" s="328">
        <v>44382</v>
      </c>
      <c r="B62" s="330" t="s">
        <v>2035</v>
      </c>
      <c r="C62" s="330" t="s">
        <v>2036</v>
      </c>
      <c r="D62" s="327">
        <v>2020</v>
      </c>
      <c r="E62" s="327" t="s">
        <v>109</v>
      </c>
      <c r="F62" s="327" t="s">
        <v>1886</v>
      </c>
      <c r="G62" s="327">
        <v>3465.3</v>
      </c>
    </row>
    <row r="63" spans="1:7">
      <c r="A63" s="328">
        <v>44382</v>
      </c>
      <c r="B63" s="330" t="s">
        <v>2035</v>
      </c>
      <c r="C63" s="330" t="s">
        <v>2036</v>
      </c>
      <c r="D63" s="327">
        <v>2020</v>
      </c>
      <c r="E63" s="327" t="s">
        <v>109</v>
      </c>
      <c r="F63" s="327" t="s">
        <v>1889</v>
      </c>
      <c r="G63" s="327">
        <v>2839.8</v>
      </c>
    </row>
    <row r="64" spans="1:7">
      <c r="A64" s="328">
        <v>44382</v>
      </c>
      <c r="B64" s="330" t="s">
        <v>2035</v>
      </c>
      <c r="C64" s="330" t="s">
        <v>2036</v>
      </c>
      <c r="D64" s="327">
        <v>2020</v>
      </c>
      <c r="E64" s="327" t="s">
        <v>109</v>
      </c>
      <c r="F64" s="327">
        <v>13</v>
      </c>
      <c r="G64" s="327">
        <v>2657.9</v>
      </c>
    </row>
    <row r="65" spans="1:7">
      <c r="A65" s="328">
        <v>44382</v>
      </c>
      <c r="B65" s="330" t="s">
        <v>2035</v>
      </c>
      <c r="C65" s="330" t="s">
        <v>2036</v>
      </c>
      <c r="D65" s="327">
        <v>2020</v>
      </c>
      <c r="E65" s="327" t="s">
        <v>109</v>
      </c>
      <c r="F65" s="327">
        <v>14</v>
      </c>
      <c r="G65" s="327">
        <v>3414.6</v>
      </c>
    </row>
    <row r="66" spans="1:7">
      <c r="A66" s="328">
        <v>44382</v>
      </c>
      <c r="B66" s="330" t="s">
        <v>2035</v>
      </c>
      <c r="C66" s="330" t="s">
        <v>2036</v>
      </c>
      <c r="D66" s="327">
        <v>2020</v>
      </c>
      <c r="E66" s="327" t="s">
        <v>109</v>
      </c>
      <c r="F66" s="327" t="s">
        <v>2007</v>
      </c>
      <c r="G66" s="327">
        <v>3209.9</v>
      </c>
    </row>
    <row r="67" spans="1:7">
      <c r="A67" s="328">
        <v>44382</v>
      </c>
      <c r="B67" s="330" t="s">
        <v>2035</v>
      </c>
      <c r="C67" s="330" t="s">
        <v>2036</v>
      </c>
      <c r="D67" s="327">
        <v>2020</v>
      </c>
      <c r="E67" s="327" t="s">
        <v>109</v>
      </c>
      <c r="F67" s="327" t="s">
        <v>2008</v>
      </c>
      <c r="G67" s="327">
        <v>2959.4</v>
      </c>
    </row>
    <row r="68" spans="1:7">
      <c r="A68" s="328">
        <v>44382</v>
      </c>
      <c r="B68" s="330" t="s">
        <v>2035</v>
      </c>
      <c r="C68" s="330" t="s">
        <v>2036</v>
      </c>
      <c r="D68" s="327">
        <v>2020</v>
      </c>
      <c r="E68" s="327" t="s">
        <v>109</v>
      </c>
      <c r="F68" s="327">
        <v>16</v>
      </c>
      <c r="G68" s="327">
        <v>2671.7</v>
      </c>
    </row>
    <row r="69" spans="1:7">
      <c r="A69" s="328">
        <v>44382</v>
      </c>
      <c r="B69" s="330" t="s">
        <v>2035</v>
      </c>
      <c r="C69" s="330" t="s">
        <v>2036</v>
      </c>
      <c r="D69" s="327">
        <v>2020</v>
      </c>
      <c r="E69" s="327" t="s">
        <v>109</v>
      </c>
      <c r="F69" s="327">
        <v>17</v>
      </c>
      <c r="G69" s="327">
        <v>3409.2</v>
      </c>
    </row>
    <row r="70" spans="1:7">
      <c r="A70" s="328">
        <v>44382</v>
      </c>
      <c r="B70" s="330" t="s">
        <v>2035</v>
      </c>
      <c r="C70" s="330" t="s">
        <v>2036</v>
      </c>
      <c r="D70" s="327">
        <v>2020</v>
      </c>
      <c r="E70" s="327" t="s">
        <v>109</v>
      </c>
      <c r="F70" s="327">
        <v>18</v>
      </c>
      <c r="G70" s="327">
        <v>3125.1</v>
      </c>
    </row>
    <row r="71" spans="1:7">
      <c r="A71" s="328">
        <v>44382</v>
      </c>
      <c r="B71" s="330" t="s">
        <v>2035</v>
      </c>
      <c r="C71" s="330" t="s">
        <v>2036</v>
      </c>
      <c r="D71" s="327">
        <v>2020</v>
      </c>
      <c r="E71" s="327" t="s">
        <v>109</v>
      </c>
      <c r="F71" s="327">
        <v>19</v>
      </c>
      <c r="G71" s="327">
        <v>2421.4</v>
      </c>
    </row>
    <row r="72" spans="1:7">
      <c r="A72" s="328">
        <v>44382</v>
      </c>
      <c r="B72" s="330" t="s">
        <v>2035</v>
      </c>
      <c r="C72" s="330" t="s">
        <v>2036</v>
      </c>
      <c r="D72" s="327">
        <v>2020</v>
      </c>
      <c r="E72" s="327" t="s">
        <v>109</v>
      </c>
      <c r="F72" s="327">
        <v>20</v>
      </c>
      <c r="G72" s="327">
        <v>2440.1</v>
      </c>
    </row>
    <row r="73" spans="1:7">
      <c r="A73" s="328">
        <v>44382</v>
      </c>
      <c r="B73" s="330" t="s">
        <v>2035</v>
      </c>
      <c r="C73" s="330" t="s">
        <v>2036</v>
      </c>
      <c r="D73" s="327">
        <v>2020</v>
      </c>
      <c r="E73" s="327" t="s">
        <v>109</v>
      </c>
      <c r="F73" s="327">
        <v>21</v>
      </c>
      <c r="G73" s="327">
        <v>3524.5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5E785-8D9C-4747-9C11-D1DE823C5E00}">
  <dimension ref="A1:AM206"/>
  <sheetViews>
    <sheetView topLeftCell="AG1" workbookViewId="0">
      <pane ySplit="3330" topLeftCell="A10" activePane="bottomLeft"/>
      <selection activeCell="H1" sqref="H1"/>
      <selection pane="bottomLeft" activeCell="AS27" sqref="AS27"/>
    </sheetView>
  </sheetViews>
  <sheetFormatPr defaultRowHeight="15"/>
  <cols>
    <col min="1" max="1" width="10.7109375" bestFit="1" customWidth="1"/>
    <col min="3" max="3" width="18.28515625" bestFit="1" customWidth="1"/>
    <col min="10" max="10" width="12" bestFit="1" customWidth="1"/>
    <col min="24" max="24" width="13.28515625" customWidth="1"/>
    <col min="33" max="33" width="15.5703125" customWidth="1"/>
  </cols>
  <sheetData>
    <row r="1" spans="1:39" s="332" customFormat="1" ht="15.75">
      <c r="A1" s="331" t="s">
        <v>2037</v>
      </c>
    </row>
    <row r="2" spans="1:39" ht="15.75" thickBot="1"/>
    <row r="3" spans="1:39" ht="30">
      <c r="A3" s="333"/>
      <c r="B3" s="334"/>
      <c r="C3" s="335"/>
      <c r="D3" s="336" t="s">
        <v>2038</v>
      </c>
      <c r="E3" s="337" t="s">
        <v>2039</v>
      </c>
      <c r="F3" s="337" t="s">
        <v>2038</v>
      </c>
      <c r="G3" s="338"/>
      <c r="H3" s="337"/>
      <c r="I3" s="337" t="s">
        <v>2040</v>
      </c>
      <c r="J3" s="338"/>
      <c r="K3" s="564" t="s">
        <v>2041</v>
      </c>
      <c r="L3" s="565"/>
      <c r="M3" s="564" t="s">
        <v>2042</v>
      </c>
      <c r="N3" s="566"/>
      <c r="O3" s="339"/>
      <c r="P3" s="339"/>
      <c r="Q3" s="339"/>
      <c r="R3" s="339"/>
      <c r="S3" s="335"/>
      <c r="T3" s="335"/>
      <c r="U3" s="335"/>
      <c r="X3" s="340" t="s">
        <v>2043</v>
      </c>
      <c r="Y3" s="341"/>
      <c r="Z3" s="341"/>
      <c r="AA3" s="341"/>
      <c r="AB3" s="342"/>
    </row>
    <row r="4" spans="1:39" ht="90">
      <c r="A4" s="343" t="s">
        <v>2044</v>
      </c>
      <c r="B4" s="344" t="s">
        <v>2045</v>
      </c>
      <c r="C4" s="345" t="s">
        <v>2046</v>
      </c>
      <c r="D4" s="346" t="s">
        <v>2030</v>
      </c>
      <c r="E4" s="336"/>
      <c r="F4" s="336" t="s">
        <v>2047</v>
      </c>
      <c r="G4" s="336" t="s">
        <v>2048</v>
      </c>
      <c r="H4" s="336" t="s">
        <v>2049</v>
      </c>
      <c r="I4" s="336" t="s">
        <v>2050</v>
      </c>
      <c r="J4" s="336" t="s">
        <v>2051</v>
      </c>
      <c r="K4" s="347" t="s">
        <v>2052</v>
      </c>
      <c r="L4" s="348" t="s">
        <v>2053</v>
      </c>
      <c r="M4" s="336" t="s">
        <v>2052</v>
      </c>
      <c r="N4" s="349" t="s">
        <v>2054</v>
      </c>
      <c r="O4" s="336" t="s">
        <v>2055</v>
      </c>
      <c r="P4" s="336" t="s">
        <v>2056</v>
      </c>
      <c r="Q4" s="336" t="s">
        <v>2057</v>
      </c>
      <c r="R4" s="336" t="s">
        <v>2058</v>
      </c>
      <c r="S4" s="345" t="s">
        <v>2059</v>
      </c>
      <c r="T4" s="345" t="s">
        <v>2060</v>
      </c>
      <c r="U4" s="346" t="s">
        <v>1760</v>
      </c>
      <c r="X4" s="350" t="s">
        <v>2061</v>
      </c>
      <c r="Y4" s="351" t="s">
        <v>2062</v>
      </c>
      <c r="Z4" s="352" t="s">
        <v>2063</v>
      </c>
      <c r="AA4" s="352" t="s">
        <v>2064</v>
      </c>
      <c r="AB4" s="353" t="s">
        <v>2065</v>
      </c>
      <c r="AC4" s="354" t="s">
        <v>165</v>
      </c>
      <c r="AD4" s="355" t="s">
        <v>1834</v>
      </c>
      <c r="AE4" s="354" t="s">
        <v>24</v>
      </c>
      <c r="AF4" s="354" t="s">
        <v>2054</v>
      </c>
      <c r="AG4" s="354" t="s">
        <v>2066</v>
      </c>
      <c r="AJ4" s="569" t="s">
        <v>2200</v>
      </c>
      <c r="AK4" s="2"/>
      <c r="AL4" s="2"/>
      <c r="AM4" s="2"/>
    </row>
    <row r="5" spans="1:39" ht="15.75">
      <c r="X5" s="356"/>
      <c r="Y5" s="357"/>
      <c r="Z5" s="358">
        <f>MAX(Y14,Y50,Y71,Y113,Y150,Y190)</f>
        <v>4.7286799296641444</v>
      </c>
      <c r="AA5" s="358">
        <f>MIN(Y14,Y50,Y71,Y113,Y150,Y190)</f>
        <v>2.0975902748572883</v>
      </c>
      <c r="AB5" s="359">
        <f>(Z5/12.01)*100.0869</f>
        <v>39.407070379042658</v>
      </c>
      <c r="AC5" s="354"/>
      <c r="AD5" s="355"/>
      <c r="AE5" s="354"/>
      <c r="AF5" s="354"/>
      <c r="AG5" s="354"/>
      <c r="AJ5" s="569"/>
      <c r="AK5" s="85" t="s">
        <v>2201</v>
      </c>
      <c r="AL5" s="2"/>
      <c r="AM5" s="85"/>
    </row>
    <row r="6" spans="1:39" ht="16.5" thickBot="1">
      <c r="A6" s="360" t="s">
        <v>2067</v>
      </c>
      <c r="B6" s="151"/>
      <c r="D6" s="125"/>
      <c r="E6" s="125"/>
      <c r="F6" s="125"/>
      <c r="G6" s="125"/>
      <c r="H6" s="361"/>
      <c r="I6" s="224"/>
      <c r="J6" s="125"/>
      <c r="K6" s="362"/>
      <c r="L6" s="363"/>
      <c r="M6" s="125"/>
      <c r="N6" s="363"/>
      <c r="O6" s="253"/>
      <c r="P6" s="253"/>
      <c r="Q6" s="125"/>
      <c r="R6" s="125"/>
      <c r="X6" s="567" t="s">
        <v>2068</v>
      </c>
      <c r="Y6" s="568"/>
      <c r="Z6" s="364">
        <f>(Z5/AK15)*100</f>
        <v>2.0226350352725584</v>
      </c>
      <c r="AA6" s="364">
        <f>(AA5/AK15)*100</f>
        <v>0.89721859856873032</v>
      </c>
      <c r="AB6" s="365">
        <f>(AB5/((AK15/12.01)*100.0869))*100</f>
        <v>2.0226350352725584</v>
      </c>
      <c r="AC6" s="354"/>
      <c r="AD6" s="355"/>
      <c r="AE6" s="354" t="s">
        <v>2069</v>
      </c>
      <c r="AF6" s="354" t="s">
        <v>2070</v>
      </c>
      <c r="AG6" s="354"/>
      <c r="AJ6" s="569"/>
      <c r="AK6" s="2"/>
      <c r="AL6" s="2"/>
      <c r="AM6" s="85" t="s">
        <v>2193</v>
      </c>
    </row>
    <row r="7" spans="1:39" ht="15.75">
      <c r="A7" t="s">
        <v>2071</v>
      </c>
      <c r="AJ7" s="85" t="s">
        <v>1833</v>
      </c>
      <c r="AK7" s="15">
        <f>AVERAGE(H9:H11,H17:H18,H21:H22,H30,H38,H40,H64:H66,H72:H73,H76:H77,H85,H93,H95,H103:H105,H111:H112,H115:H116,H124,H132,H134,H140:H142,H148:H149,H152:H153,H177:H179,H161,H169,H171,H185:H186,H189:H190,H197,H204,H206)</f>
        <v>0.37685600000000002</v>
      </c>
      <c r="AL7" s="2"/>
      <c r="AM7" s="15">
        <f>(AK7/AK15)*100</f>
        <v>0.16119554721201304</v>
      </c>
    </row>
    <row r="8" spans="1:39" ht="47.25">
      <c r="A8" t="s">
        <v>2072</v>
      </c>
      <c r="X8" s="366">
        <f>A9</f>
        <v>44432</v>
      </c>
      <c r="AC8">
        <v>2020</v>
      </c>
      <c r="AD8" t="s">
        <v>105</v>
      </c>
      <c r="AE8">
        <v>1</v>
      </c>
      <c r="AF8" s="125">
        <f>L157</f>
        <v>61.270451603008603</v>
      </c>
      <c r="AH8" s="368" t="s">
        <v>2196</v>
      </c>
      <c r="AJ8" s="85" t="s">
        <v>1822</v>
      </c>
      <c r="AK8" s="15">
        <f>_xlfn.STDEV.P(H9:H11,H17:H18,H21:H22,H30,H38,H40,H64:H66,H72:H73,H76:H77,H85,H93,H95,H103:H105,H111:H112,H115:H116,H124,H132,H134,H140:H142,H148:H149,H152:H153,H177:H179,H161,H169,H171,H185:H186,H189:H190,H197,H204,H206)</f>
        <v>0.29461546813431244</v>
      </c>
    </row>
    <row r="9" spans="1:39" ht="15.75">
      <c r="A9" s="139">
        <v>44432</v>
      </c>
      <c r="B9">
        <v>1</v>
      </c>
      <c r="C9" t="s">
        <v>2073</v>
      </c>
      <c r="H9">
        <v>0</v>
      </c>
      <c r="X9" s="125">
        <f>((V13-INDEX(LINEST($V$13:$V$17,$U$13:$U$17),2))/INDEX(LINEST($V$13:$V$17,$U$13:$U$17),1)/100.09)*12.01</f>
        <v>-0.28326061961480431</v>
      </c>
      <c r="Y9" s="125">
        <f>(V13-X9)^2</f>
        <v>0.21833248664281085</v>
      </c>
      <c r="AC9">
        <v>2020</v>
      </c>
      <c r="AD9" t="s">
        <v>105</v>
      </c>
      <c r="AE9">
        <v>2</v>
      </c>
      <c r="AF9" s="125">
        <f t="shared" ref="AF9:AF11" si="0">L158</f>
        <v>63.30277781717718</v>
      </c>
      <c r="AJ9" s="85" t="s">
        <v>2198</v>
      </c>
      <c r="AK9" s="2">
        <f>COUNT(H9:H11,H17:H18,H21:H22,H30,H38,H40,H64:H66,H72:H73,H76:H77,H85,H93,H95,H103:H105,H111:H112,H115:H116,H124,H132,H134,H140:H142,H148:H149,H152:H153,H177:H179,H161,H169,H171,H185:H186,H189:H190,H197,H204,H206)</f>
        <v>50</v>
      </c>
    </row>
    <row r="10" spans="1:39" ht="15.75">
      <c r="A10" s="139">
        <v>44432</v>
      </c>
      <c r="B10">
        <v>2</v>
      </c>
      <c r="C10" t="s">
        <v>2074</v>
      </c>
      <c r="H10">
        <v>0</v>
      </c>
      <c r="X10" s="125">
        <f>((V14-INDEX(LINEST($V$13:$V$17,$U$13:$U$17),2))/INDEX(LINEST($V$13:$V$17,$U$13:$U$17),1)/100.09)*12.01</f>
        <v>156.12108061338435</v>
      </c>
      <c r="Y10" s="125">
        <f>(V14-X10)^2</f>
        <v>0.61415530379446814</v>
      </c>
      <c r="AC10">
        <v>2020</v>
      </c>
      <c r="AD10" t="s">
        <v>105</v>
      </c>
      <c r="AE10">
        <v>3</v>
      </c>
      <c r="AF10" s="125">
        <f t="shared" si="0"/>
        <v>66.47885331390161</v>
      </c>
      <c r="AJ10" s="85"/>
      <c r="AK10" s="2"/>
    </row>
    <row r="11" spans="1:39">
      <c r="A11" s="139">
        <v>44432</v>
      </c>
      <c r="B11">
        <v>3</v>
      </c>
      <c r="C11" t="s">
        <v>2075</v>
      </c>
      <c r="G11">
        <v>0</v>
      </c>
      <c r="H11">
        <v>0</v>
      </c>
      <c r="I11">
        <v>0.184</v>
      </c>
      <c r="J11">
        <v>0.184</v>
      </c>
      <c r="X11" s="125">
        <f>((V15-INDEX(LINEST($V$13:$V$17,$U$13:$U$17),2))/INDEX(LINEST($V$13:$V$17,$U$13:$U$17),1)/100.09)*12.01</f>
        <v>237.08352826644386</v>
      </c>
      <c r="Y11" s="125">
        <f>(V15-X11)^2</f>
        <v>2.0484143506679167</v>
      </c>
      <c r="AC11">
        <v>2020</v>
      </c>
      <c r="AD11" t="s">
        <v>105</v>
      </c>
      <c r="AE11">
        <v>4</v>
      </c>
      <c r="AF11" s="125">
        <f t="shared" si="0"/>
        <v>61.416402694429195</v>
      </c>
    </row>
    <row r="12" spans="1:39" ht="15.75">
      <c r="A12" s="139">
        <v>44432</v>
      </c>
      <c r="B12">
        <v>4</v>
      </c>
      <c r="C12" t="s">
        <v>2076</v>
      </c>
      <c r="D12">
        <v>239.2</v>
      </c>
      <c r="G12">
        <v>239.15215999999998</v>
      </c>
      <c r="H12">
        <v>24.696300000000001</v>
      </c>
      <c r="I12">
        <v>0.184</v>
      </c>
      <c r="J12">
        <v>24.5123</v>
      </c>
      <c r="K12">
        <v>215.2324035630013</v>
      </c>
      <c r="L12">
        <v>89.998101444286064</v>
      </c>
      <c r="M12">
        <v>204.28277327227312</v>
      </c>
      <c r="N12">
        <v>85.419581103625887</v>
      </c>
      <c r="O12">
        <v>128</v>
      </c>
      <c r="P12">
        <v>41.7</v>
      </c>
      <c r="Q12">
        <v>100</v>
      </c>
      <c r="R12">
        <v>3</v>
      </c>
      <c r="S12" t="s">
        <v>40</v>
      </c>
      <c r="T12" t="s">
        <v>40</v>
      </c>
      <c r="X12" s="125">
        <f>((V16-INDEX(LINEST($V$13:$V$17,$U$13:$U$17),2))/INDEX(LINEST($V$13:$V$17,$U$13:$U$17),1)/100.09)*12.01</f>
        <v>402.50186454480684</v>
      </c>
      <c r="Y12" s="125">
        <f>(V16-X12)^2</f>
        <v>7.5859731827801307</v>
      </c>
      <c r="AC12">
        <v>2020</v>
      </c>
      <c r="AD12" t="s">
        <v>105</v>
      </c>
      <c r="AE12">
        <v>5</v>
      </c>
      <c r="AF12" s="125">
        <f>AVERAGE(L191,L198)</f>
        <v>67.995382921414688</v>
      </c>
      <c r="AG12" s="127" t="s">
        <v>2197</v>
      </c>
      <c r="AH12">
        <f>((L191-L198)/AVERAGE(L191,L198))*100</f>
        <v>-0.14721575935495027</v>
      </c>
      <c r="AJ12" s="2"/>
      <c r="AK12" s="2"/>
    </row>
    <row r="13" spans="1:39" ht="180" customHeight="1">
      <c r="A13" s="139">
        <v>44432</v>
      </c>
      <c r="B13">
        <v>5</v>
      </c>
      <c r="C13" t="s">
        <v>2077</v>
      </c>
      <c r="D13">
        <v>1298.9000000000001</v>
      </c>
      <c r="G13">
        <v>1298.6402200000002</v>
      </c>
      <c r="H13">
        <v>155.5214</v>
      </c>
      <c r="I13">
        <v>0.184</v>
      </c>
      <c r="J13">
        <v>155.3374</v>
      </c>
      <c r="K13">
        <v>1309.5071163157977</v>
      </c>
      <c r="L13">
        <v>100.83679037106963</v>
      </c>
      <c r="M13">
        <v>1294.5645600333057</v>
      </c>
      <c r="N13">
        <v>99.686159422453855</v>
      </c>
      <c r="O13">
        <v>128</v>
      </c>
      <c r="P13">
        <v>41.7</v>
      </c>
      <c r="Q13">
        <v>100</v>
      </c>
      <c r="R13">
        <v>3</v>
      </c>
      <c r="S13" t="s">
        <v>40</v>
      </c>
      <c r="T13" t="s">
        <v>40</v>
      </c>
      <c r="U13">
        <v>0</v>
      </c>
      <c r="V13">
        <v>0.184</v>
      </c>
      <c r="W13" s="563" t="s">
        <v>2078</v>
      </c>
      <c r="X13" s="125">
        <f>((V17-INDEX(LINEST($V$13:$V$17,$U$13:$U$17),2))/INDEX(LINEST($V$13:$V$17,$U$13:$U$17),1)/100.09)*12.01</f>
        <v>483.75967454236701</v>
      </c>
      <c r="Y13" s="125">
        <f>(V17-X13)^2</f>
        <v>11.588404314899977</v>
      </c>
      <c r="AA13" s="226" t="s">
        <v>2193</v>
      </c>
      <c r="AC13">
        <v>2020</v>
      </c>
      <c r="AD13" t="s">
        <v>105</v>
      </c>
      <c r="AE13">
        <v>6</v>
      </c>
      <c r="AF13" s="125">
        <f>L163</f>
        <v>70.120884254291553</v>
      </c>
      <c r="AJ13" s="2"/>
      <c r="AK13" s="85" t="s">
        <v>2199</v>
      </c>
    </row>
    <row r="14" spans="1:39" ht="15.75">
      <c r="A14" s="139">
        <v>44432</v>
      </c>
      <c r="B14">
        <v>6</v>
      </c>
      <c r="C14" t="s">
        <v>2079</v>
      </c>
      <c r="D14">
        <v>1977.3</v>
      </c>
      <c r="G14">
        <v>1976.90454</v>
      </c>
      <c r="H14">
        <v>235.83629999999999</v>
      </c>
      <c r="I14">
        <v>0.184</v>
      </c>
      <c r="J14">
        <v>235.6523</v>
      </c>
      <c r="K14">
        <v>1981.2938310002853</v>
      </c>
      <c r="L14">
        <v>100.22202847489466</v>
      </c>
      <c r="M14">
        <v>1963.8999756036637</v>
      </c>
      <c r="N14">
        <v>99.342175399307024</v>
      </c>
      <c r="O14">
        <v>128</v>
      </c>
      <c r="P14">
        <v>41.7</v>
      </c>
      <c r="Q14">
        <v>100</v>
      </c>
      <c r="R14">
        <v>3</v>
      </c>
      <c r="S14" t="s">
        <v>40</v>
      </c>
      <c r="T14" t="s">
        <v>40</v>
      </c>
      <c r="U14">
        <v>1298.6402200000002</v>
      </c>
      <c r="V14">
        <v>155.3374</v>
      </c>
      <c r="W14" s="563"/>
      <c r="Y14" s="225">
        <f>SQRT(SUM(Y9:Y13)/(6-2))</f>
        <v>2.3481524460086329</v>
      </c>
      <c r="Z14" s="226" t="s">
        <v>2194</v>
      </c>
      <c r="AA14" s="225">
        <f>(Y14/$AK$15)*100</f>
        <v>1.0043935043400889</v>
      </c>
      <c r="AC14">
        <v>2020</v>
      </c>
      <c r="AD14" t="s">
        <v>105</v>
      </c>
      <c r="AE14">
        <v>7</v>
      </c>
      <c r="AF14" s="125">
        <f t="shared" ref="AF14:AF18" si="1">L164</f>
        <v>68.239375960274074</v>
      </c>
      <c r="AJ14" s="2"/>
      <c r="AK14" s="2"/>
    </row>
    <row r="15" spans="1:39" ht="15.75">
      <c r="A15" s="139">
        <v>44432</v>
      </c>
      <c r="B15">
        <v>7</v>
      </c>
      <c r="C15" t="s">
        <v>2080</v>
      </c>
      <c r="D15">
        <v>3347.8</v>
      </c>
      <c r="G15">
        <v>3347.1304400000004</v>
      </c>
      <c r="H15">
        <v>399.9316</v>
      </c>
      <c r="I15">
        <v>0.184</v>
      </c>
      <c r="J15">
        <v>399.74759999999998</v>
      </c>
      <c r="K15">
        <v>3353.8541215835444</v>
      </c>
      <c r="L15">
        <v>100.20087898288014</v>
      </c>
      <c r="M15">
        <v>3331.4518970857621</v>
      </c>
      <c r="N15">
        <v>99.531582554212065</v>
      </c>
      <c r="O15">
        <v>128</v>
      </c>
      <c r="P15">
        <v>41.7</v>
      </c>
      <c r="Q15">
        <v>100</v>
      </c>
      <c r="R15">
        <v>3</v>
      </c>
      <c r="S15" t="s">
        <v>40</v>
      </c>
      <c r="T15" t="s">
        <v>40</v>
      </c>
      <c r="U15">
        <v>1976.90454</v>
      </c>
      <c r="V15">
        <v>235.6523</v>
      </c>
      <c r="W15" s="563"/>
      <c r="Y15" s="225">
        <f>(Y14/12.01)*100.09</f>
        <v>19.569240493006166</v>
      </c>
      <c r="Z15" s="226" t="s">
        <v>2195</v>
      </c>
      <c r="AC15">
        <v>2020</v>
      </c>
      <c r="AD15" t="s">
        <v>105</v>
      </c>
      <c r="AE15">
        <v>8</v>
      </c>
      <c r="AF15" s="125">
        <f t="shared" si="1"/>
        <v>67.34943309880336</v>
      </c>
      <c r="AJ15" s="85" t="s">
        <v>1833</v>
      </c>
      <c r="AK15" s="15">
        <f>AVERAGE(J23:J29,J31:J37,J78:J84,J86:J92,J117:J123,J125:J131,J154:J160,J162:J168,J191:J196,J198:J203)</f>
        <v>233.78809558823528</v>
      </c>
    </row>
    <row r="16" spans="1:39" ht="15.75">
      <c r="A16" s="139">
        <v>44432</v>
      </c>
      <c r="B16">
        <v>8</v>
      </c>
      <c r="C16" t="s">
        <v>2081</v>
      </c>
      <c r="D16">
        <v>4038.7</v>
      </c>
      <c r="G16">
        <v>4037.8922600000001</v>
      </c>
      <c r="H16">
        <v>480.53949999999998</v>
      </c>
      <c r="I16">
        <v>0.184</v>
      </c>
      <c r="J16">
        <v>480.35549999999995</v>
      </c>
      <c r="K16">
        <v>4028.091608259313</v>
      </c>
      <c r="L16">
        <v>99.75728298058435</v>
      </c>
      <c r="M16">
        <v>4003.2291419650292</v>
      </c>
      <c r="N16">
        <v>99.141554162344818</v>
      </c>
      <c r="O16">
        <v>128</v>
      </c>
      <c r="P16">
        <v>41.7</v>
      </c>
      <c r="Q16">
        <v>100</v>
      </c>
      <c r="R16">
        <v>3</v>
      </c>
      <c r="S16" t="s">
        <v>40</v>
      </c>
      <c r="T16" t="s">
        <v>40</v>
      </c>
      <c r="U16">
        <v>3347.1304400000004</v>
      </c>
      <c r="V16">
        <v>399.74759999999998</v>
      </c>
      <c r="W16" s="563"/>
      <c r="AC16">
        <v>2020</v>
      </c>
      <c r="AD16" t="s">
        <v>105</v>
      </c>
      <c r="AE16">
        <v>9</v>
      </c>
      <c r="AF16" s="125">
        <f t="shared" si="1"/>
        <v>65.749587841751904</v>
      </c>
      <c r="AJ16" s="85" t="s">
        <v>1822</v>
      </c>
      <c r="AK16" s="2">
        <f>_xlfn.STDEV.P(J23:J29,J31:J37,J78:J84,J86:J92,J117:J123,J125:J131,J154:J160,J162:J168,J191:J196,J198:J203)</f>
        <v>32.925717090623756</v>
      </c>
    </row>
    <row r="17" spans="1:37" ht="15.75">
      <c r="A17" s="139">
        <v>44432</v>
      </c>
      <c r="B17">
        <v>9</v>
      </c>
      <c r="C17" t="s">
        <v>2082</v>
      </c>
      <c r="H17">
        <v>0.46260000000000001</v>
      </c>
      <c r="I17">
        <v>0.184</v>
      </c>
      <c r="J17">
        <v>0.27860000000000001</v>
      </c>
      <c r="O17">
        <v>128</v>
      </c>
      <c r="P17">
        <v>41.7</v>
      </c>
      <c r="Q17">
        <v>100</v>
      </c>
      <c r="R17">
        <v>3</v>
      </c>
      <c r="S17" t="s">
        <v>40</v>
      </c>
      <c r="T17" t="s">
        <v>40</v>
      </c>
      <c r="U17">
        <v>4037.8922600000001</v>
      </c>
      <c r="V17">
        <v>480.35549999999995</v>
      </c>
      <c r="AC17">
        <v>2020</v>
      </c>
      <c r="AD17" t="s">
        <v>105</v>
      </c>
      <c r="AE17">
        <v>10</v>
      </c>
      <c r="AF17" s="125">
        <f t="shared" si="1"/>
        <v>63.581083482154568</v>
      </c>
      <c r="AJ17" s="85" t="s">
        <v>2198</v>
      </c>
      <c r="AK17" s="2">
        <f>COUNT(J23:J29,J31:J37,J78:J84,J86:J92,J117:J123,J125:J131,J154:J160,J162:J168,J191:J196,J198:J203)</f>
        <v>68</v>
      </c>
    </row>
    <row r="18" spans="1:37">
      <c r="A18" s="139">
        <v>44432</v>
      </c>
      <c r="B18">
        <v>10</v>
      </c>
      <c r="C18" t="s">
        <v>2083</v>
      </c>
      <c r="H18">
        <v>0.13969999999999999</v>
      </c>
      <c r="I18">
        <v>0.184</v>
      </c>
      <c r="J18">
        <v>-4.4300000000000006E-2</v>
      </c>
      <c r="O18">
        <v>128</v>
      </c>
      <c r="P18">
        <v>41.7</v>
      </c>
      <c r="Q18">
        <v>100</v>
      </c>
      <c r="R18">
        <v>3</v>
      </c>
      <c r="S18" t="s">
        <v>40</v>
      </c>
      <c r="T18" t="s">
        <v>40</v>
      </c>
      <c r="AC18">
        <v>2020</v>
      </c>
      <c r="AD18" t="s">
        <v>105</v>
      </c>
      <c r="AE18">
        <v>11</v>
      </c>
      <c r="AF18" s="125">
        <f t="shared" si="1"/>
        <v>53.821443735457017</v>
      </c>
    </row>
    <row r="19" spans="1:37">
      <c r="A19" s="139">
        <v>44432</v>
      </c>
      <c r="B19">
        <v>11</v>
      </c>
      <c r="C19" t="s">
        <v>2084</v>
      </c>
      <c r="D19">
        <v>1006.2</v>
      </c>
      <c r="H19">
        <v>13.4955</v>
      </c>
      <c r="I19">
        <v>0.184</v>
      </c>
      <c r="J19">
        <v>13.311500000000001</v>
      </c>
      <c r="K19">
        <v>107.92453252327473</v>
      </c>
      <c r="L19">
        <v>10.72595234777129</v>
      </c>
      <c r="M19">
        <v>110.93655578684431</v>
      </c>
      <c r="N19">
        <v>11.025298726579637</v>
      </c>
      <c r="O19">
        <v>128</v>
      </c>
      <c r="P19">
        <v>41.7</v>
      </c>
      <c r="Q19">
        <v>100</v>
      </c>
      <c r="R19">
        <v>3</v>
      </c>
      <c r="S19" t="s">
        <v>40</v>
      </c>
      <c r="T19" t="s">
        <v>40</v>
      </c>
      <c r="AC19">
        <v>2020</v>
      </c>
      <c r="AD19" t="s">
        <v>105</v>
      </c>
      <c r="AE19">
        <v>12</v>
      </c>
      <c r="AF19" s="125">
        <f>L192</f>
        <v>66.010001037733517</v>
      </c>
    </row>
    <row r="20" spans="1:37">
      <c r="A20" s="139">
        <v>44432</v>
      </c>
      <c r="B20">
        <v>12</v>
      </c>
      <c r="C20" t="s">
        <v>2084</v>
      </c>
      <c r="D20">
        <v>2042.5</v>
      </c>
      <c r="H20">
        <v>30.305299999999999</v>
      </c>
      <c r="I20">
        <v>0.184</v>
      </c>
      <c r="J20">
        <v>30.121299999999998</v>
      </c>
      <c r="K20">
        <v>249.14502916100543</v>
      </c>
      <c r="L20">
        <v>12.198043043378478</v>
      </c>
      <c r="M20">
        <v>251.02755345545378</v>
      </c>
      <c r="N20">
        <v>12.290210695493453</v>
      </c>
      <c r="O20">
        <v>128</v>
      </c>
      <c r="P20">
        <v>41.7</v>
      </c>
      <c r="Q20">
        <v>100</v>
      </c>
      <c r="R20">
        <v>3</v>
      </c>
      <c r="S20" t="s">
        <v>40</v>
      </c>
      <c r="T20" t="s">
        <v>40</v>
      </c>
      <c r="AC20">
        <v>2020</v>
      </c>
      <c r="AD20" t="s">
        <v>105</v>
      </c>
      <c r="AE20">
        <v>13</v>
      </c>
      <c r="AF20" s="125">
        <f>AVERAGE(L193,L199)</f>
        <v>57.371166334528922</v>
      </c>
      <c r="AG20" s="127" t="s">
        <v>2197</v>
      </c>
      <c r="AH20">
        <f>((L193-L199)/AVERAGE(L193,L199))*100</f>
        <v>0.8988443998159209</v>
      </c>
    </row>
    <row r="21" spans="1:37">
      <c r="A21" s="139">
        <v>44432</v>
      </c>
      <c r="B21">
        <v>13</v>
      </c>
      <c r="C21" t="s">
        <v>2085</v>
      </c>
      <c r="H21">
        <v>0.17610000000000001</v>
      </c>
      <c r="I21">
        <v>0.184</v>
      </c>
      <c r="J21">
        <v>-7.8999999999999904E-3</v>
      </c>
      <c r="O21">
        <v>128</v>
      </c>
      <c r="P21">
        <v>41.7</v>
      </c>
      <c r="Q21">
        <v>100</v>
      </c>
      <c r="R21">
        <v>3</v>
      </c>
      <c r="S21" t="s">
        <v>40</v>
      </c>
      <c r="T21" t="s">
        <v>40</v>
      </c>
      <c r="AC21">
        <v>2020</v>
      </c>
      <c r="AD21" t="s">
        <v>105</v>
      </c>
      <c r="AE21">
        <v>14</v>
      </c>
      <c r="AF21">
        <f>L194</f>
        <v>63.755232943097894</v>
      </c>
    </row>
    <row r="22" spans="1:37">
      <c r="A22" s="139">
        <v>44432</v>
      </c>
      <c r="B22">
        <v>14</v>
      </c>
      <c r="C22" t="s">
        <v>2086</v>
      </c>
      <c r="H22">
        <v>0.18190000000000001</v>
      </c>
      <c r="I22">
        <v>0.184</v>
      </c>
      <c r="J22">
        <v>0.184</v>
      </c>
      <c r="O22">
        <v>128</v>
      </c>
      <c r="P22">
        <v>41.7</v>
      </c>
      <c r="Q22">
        <v>100</v>
      </c>
      <c r="R22">
        <v>3</v>
      </c>
      <c r="S22" t="s">
        <v>40</v>
      </c>
      <c r="T22" t="s">
        <v>40</v>
      </c>
      <c r="AC22">
        <v>2020</v>
      </c>
      <c r="AD22" t="s">
        <v>105</v>
      </c>
      <c r="AE22">
        <v>15</v>
      </c>
      <c r="AF22">
        <f t="shared" ref="AF22:AF23" si="2">L195</f>
        <v>71.363690001210657</v>
      </c>
    </row>
    <row r="23" spans="1:37">
      <c r="A23" s="139">
        <v>44432</v>
      </c>
      <c r="B23">
        <v>15</v>
      </c>
      <c r="C23" t="s">
        <v>2087</v>
      </c>
      <c r="D23">
        <v>2965.3</v>
      </c>
      <c r="H23">
        <v>249.46090000000001</v>
      </c>
      <c r="I23">
        <v>0.184</v>
      </c>
      <c r="J23">
        <v>249.27690000000001</v>
      </c>
      <c r="K23">
        <v>2090.2890447316759</v>
      </c>
      <c r="L23">
        <v>70.491654966838951</v>
      </c>
      <c r="M23">
        <v>2077.4458718567862</v>
      </c>
      <c r="N23">
        <v>70.058539502134224</v>
      </c>
      <c r="O23">
        <v>128</v>
      </c>
      <c r="P23">
        <v>41.7</v>
      </c>
      <c r="Q23">
        <v>100</v>
      </c>
      <c r="R23">
        <v>3</v>
      </c>
      <c r="S23" t="s">
        <v>40</v>
      </c>
      <c r="T23" t="s">
        <v>40</v>
      </c>
      <c r="AC23">
        <v>2020</v>
      </c>
      <c r="AD23" t="s">
        <v>105</v>
      </c>
      <c r="AE23" t="s">
        <v>2010</v>
      </c>
      <c r="AF23">
        <f t="shared" si="2"/>
        <v>63.815883762088824</v>
      </c>
    </row>
    <row r="24" spans="1:37">
      <c r="A24" s="139">
        <v>44432</v>
      </c>
      <c r="B24">
        <v>16</v>
      </c>
      <c r="C24" t="s">
        <v>2088</v>
      </c>
      <c r="D24">
        <v>3078.9</v>
      </c>
      <c r="H24">
        <v>268.09300000000002</v>
      </c>
      <c r="I24">
        <v>0.184</v>
      </c>
      <c r="J24">
        <v>267.90899999999999</v>
      </c>
      <c r="K24">
        <v>2246.8188318441858</v>
      </c>
      <c r="L24">
        <v>72.974725773626474</v>
      </c>
      <c r="M24">
        <v>2232.723714404663</v>
      </c>
      <c r="N24">
        <v>72.516928591531496</v>
      </c>
      <c r="O24">
        <v>128</v>
      </c>
      <c r="P24">
        <v>41.7</v>
      </c>
      <c r="Q24">
        <v>100</v>
      </c>
      <c r="R24">
        <v>3</v>
      </c>
      <c r="S24" t="s">
        <v>40</v>
      </c>
      <c r="T24" t="s">
        <v>40</v>
      </c>
    </row>
    <row r="25" spans="1:37">
      <c r="A25" s="139">
        <v>44432</v>
      </c>
      <c r="B25">
        <v>17</v>
      </c>
      <c r="C25" t="s">
        <v>2089</v>
      </c>
      <c r="D25">
        <v>2788.6</v>
      </c>
      <c r="H25">
        <v>243.02289999999999</v>
      </c>
      <c r="I25">
        <v>0.184</v>
      </c>
      <c r="J25">
        <v>242.8389</v>
      </c>
      <c r="K25">
        <v>2036.2028832452982</v>
      </c>
      <c r="L25">
        <v>73.018822464509</v>
      </c>
      <c r="M25">
        <v>2023.7922981681934</v>
      </c>
      <c r="N25">
        <v>72.573775305464878</v>
      </c>
      <c r="O25">
        <v>128</v>
      </c>
      <c r="P25">
        <v>41.7</v>
      </c>
      <c r="Q25">
        <v>100</v>
      </c>
      <c r="R25">
        <v>3</v>
      </c>
      <c r="S25" t="s">
        <v>40</v>
      </c>
      <c r="T25" t="s">
        <v>40</v>
      </c>
      <c r="AC25">
        <v>2020</v>
      </c>
      <c r="AD25" t="s">
        <v>105</v>
      </c>
      <c r="AE25">
        <v>18</v>
      </c>
      <c r="AF25">
        <f>L200</f>
        <v>64.835159973201399</v>
      </c>
    </row>
    <row r="26" spans="1:37">
      <c r="A26" s="139">
        <v>44432</v>
      </c>
      <c r="B26">
        <v>18</v>
      </c>
      <c r="C26" t="s">
        <v>2090</v>
      </c>
      <c r="D26">
        <v>2877.6</v>
      </c>
      <c r="H26">
        <v>249.67009999999999</v>
      </c>
      <c r="I26">
        <v>0.184</v>
      </c>
      <c r="J26">
        <v>249.48609999999999</v>
      </c>
      <c r="K26">
        <v>2092.0465509421374</v>
      </c>
      <c r="L26">
        <v>72.701089482281674</v>
      </c>
      <c r="M26">
        <v>2079.1893213155704</v>
      </c>
      <c r="N26">
        <v>72.254285561425164</v>
      </c>
      <c r="O26">
        <v>128</v>
      </c>
      <c r="P26">
        <v>41.7</v>
      </c>
      <c r="Q26">
        <v>100</v>
      </c>
      <c r="R26">
        <v>3</v>
      </c>
      <c r="S26" t="s">
        <v>40</v>
      </c>
      <c r="T26" t="s">
        <v>40</v>
      </c>
      <c r="AC26">
        <v>2020</v>
      </c>
      <c r="AD26" t="s">
        <v>105</v>
      </c>
      <c r="AE26">
        <v>19</v>
      </c>
      <c r="AF26">
        <f t="shared" ref="AF26:AF28" si="3">L201</f>
        <v>67.795324463626258</v>
      </c>
    </row>
    <row r="27" spans="1:37">
      <c r="A27" s="139">
        <v>44432</v>
      </c>
      <c r="B27">
        <v>19</v>
      </c>
      <c r="C27" t="s">
        <v>2091</v>
      </c>
      <c r="D27">
        <v>2837.2</v>
      </c>
      <c r="H27">
        <v>245.35120000000001</v>
      </c>
      <c r="I27">
        <v>0.184</v>
      </c>
      <c r="J27">
        <v>245.16720000000001</v>
      </c>
      <c r="K27">
        <v>2055.7631208639273</v>
      </c>
      <c r="L27">
        <v>72.457462317211593</v>
      </c>
      <c r="M27">
        <v>2043.1960905911742</v>
      </c>
      <c r="N27">
        <v>72.014524552064515</v>
      </c>
      <c r="O27">
        <v>128</v>
      </c>
      <c r="P27">
        <v>41.7</v>
      </c>
      <c r="Q27">
        <v>100</v>
      </c>
      <c r="R27">
        <v>3</v>
      </c>
      <c r="S27" t="s">
        <v>40</v>
      </c>
      <c r="T27" t="s">
        <v>40</v>
      </c>
      <c r="AC27">
        <v>2020</v>
      </c>
      <c r="AD27" t="s">
        <v>105</v>
      </c>
      <c r="AE27">
        <v>20</v>
      </c>
      <c r="AF27">
        <f t="shared" si="3"/>
        <v>62.394346906582868</v>
      </c>
    </row>
    <row r="28" spans="1:37">
      <c r="A28" s="139">
        <v>44432</v>
      </c>
      <c r="B28">
        <v>20</v>
      </c>
      <c r="C28" t="s">
        <v>2092</v>
      </c>
      <c r="D28">
        <v>3109.9</v>
      </c>
      <c r="H28">
        <v>272.75420000000003</v>
      </c>
      <c r="I28">
        <v>0.184</v>
      </c>
      <c r="J28">
        <v>272.5702</v>
      </c>
      <c r="K28">
        <v>2285.9779520554785</v>
      </c>
      <c r="L28">
        <v>73.506477766342272</v>
      </c>
      <c r="M28">
        <v>2271.5696351373858</v>
      </c>
      <c r="N28">
        <v>73.043172936023211</v>
      </c>
      <c r="O28">
        <v>128</v>
      </c>
      <c r="P28">
        <v>41.7</v>
      </c>
      <c r="Q28">
        <v>100</v>
      </c>
      <c r="R28">
        <v>3</v>
      </c>
      <c r="S28" t="s">
        <v>40</v>
      </c>
      <c r="T28" t="s">
        <v>40</v>
      </c>
      <c r="AC28">
        <v>2020</v>
      </c>
      <c r="AD28" t="s">
        <v>105</v>
      </c>
      <c r="AE28">
        <v>21</v>
      </c>
      <c r="AF28">
        <f t="shared" si="3"/>
        <v>59.123709937460902</v>
      </c>
    </row>
    <row r="29" spans="1:37">
      <c r="A29" s="139">
        <v>44432</v>
      </c>
      <c r="B29">
        <v>21</v>
      </c>
      <c r="C29" t="s">
        <v>2093</v>
      </c>
      <c r="D29">
        <v>3465.3</v>
      </c>
      <c r="H29">
        <v>252.23859999999999</v>
      </c>
      <c r="I29">
        <v>0.184</v>
      </c>
      <c r="J29">
        <v>252.05459999999999</v>
      </c>
      <c r="K29">
        <v>2113.624728291898</v>
      </c>
      <c r="L29">
        <v>60.993989792857704</v>
      </c>
      <c r="M29">
        <v>2100.5949137385514</v>
      </c>
      <c r="N29">
        <v>60.617981523635805</v>
      </c>
      <c r="O29">
        <v>128</v>
      </c>
      <c r="P29">
        <v>41.7</v>
      </c>
      <c r="Q29">
        <v>100</v>
      </c>
      <c r="R29">
        <v>3</v>
      </c>
      <c r="S29" t="s">
        <v>40</v>
      </c>
      <c r="T29" t="s">
        <v>40</v>
      </c>
      <c r="AC29">
        <v>2020</v>
      </c>
      <c r="AD29" t="s">
        <v>108</v>
      </c>
      <c r="AE29">
        <v>1</v>
      </c>
      <c r="AF29">
        <f>L155</f>
        <v>65.958253173509334</v>
      </c>
    </row>
    <row r="30" spans="1:37">
      <c r="A30" s="139">
        <v>44432</v>
      </c>
      <c r="B30">
        <v>22</v>
      </c>
      <c r="C30" t="s">
        <v>2094</v>
      </c>
      <c r="H30">
        <v>0.45989999999999998</v>
      </c>
      <c r="I30">
        <v>0.184</v>
      </c>
      <c r="J30">
        <v>0.27589999999999998</v>
      </c>
      <c r="O30">
        <v>128</v>
      </c>
      <c r="P30">
        <v>41.7</v>
      </c>
      <c r="Q30">
        <v>100</v>
      </c>
      <c r="R30">
        <v>3</v>
      </c>
      <c r="S30" t="s">
        <v>40</v>
      </c>
      <c r="T30" t="s">
        <v>40</v>
      </c>
      <c r="AC30">
        <v>2020</v>
      </c>
      <c r="AD30" t="s">
        <v>108</v>
      </c>
      <c r="AE30">
        <v>2</v>
      </c>
      <c r="AF30">
        <f>L88</f>
        <v>62.901702023041452</v>
      </c>
    </row>
    <row r="31" spans="1:37">
      <c r="A31" s="139">
        <v>44432</v>
      </c>
      <c r="B31">
        <v>23</v>
      </c>
      <c r="C31" t="s">
        <v>2095</v>
      </c>
      <c r="D31">
        <v>2621.1</v>
      </c>
      <c r="H31">
        <v>210.5849</v>
      </c>
      <c r="I31">
        <v>0.184</v>
      </c>
      <c r="J31">
        <v>210.40090000000001</v>
      </c>
      <c r="K31">
        <v>1763.688607648045</v>
      </c>
      <c r="L31">
        <v>67.28810833802774</v>
      </c>
      <c r="M31">
        <v>1753.4576253955038</v>
      </c>
      <c r="N31">
        <v>66.897776711895915</v>
      </c>
      <c r="O31">
        <v>128</v>
      </c>
      <c r="P31">
        <v>41.7</v>
      </c>
      <c r="Q31">
        <v>100</v>
      </c>
      <c r="R31">
        <v>3</v>
      </c>
      <c r="S31" t="s">
        <v>40</v>
      </c>
      <c r="T31" t="s">
        <v>40</v>
      </c>
      <c r="AC31">
        <v>2020</v>
      </c>
      <c r="AD31" t="s">
        <v>108</v>
      </c>
      <c r="AE31">
        <v>3</v>
      </c>
      <c r="AF31">
        <f t="shared" ref="AF31:AF34" si="4">L89</f>
        <v>64.882237259486274</v>
      </c>
    </row>
    <row r="32" spans="1:37">
      <c r="A32" s="139">
        <v>44432</v>
      </c>
      <c r="B32">
        <v>24</v>
      </c>
      <c r="C32" t="s">
        <v>2096</v>
      </c>
      <c r="D32">
        <v>2839.8</v>
      </c>
      <c r="H32">
        <v>207.7646</v>
      </c>
      <c r="I32">
        <v>0.184</v>
      </c>
      <c r="J32">
        <v>207.5806</v>
      </c>
      <c r="K32">
        <v>1739.9950380239334</v>
      </c>
      <c r="L32">
        <v>61.271745828013714</v>
      </c>
      <c r="M32">
        <v>1729.9535598667778</v>
      </c>
      <c r="N32">
        <v>60.918147752193029</v>
      </c>
      <c r="O32">
        <v>128</v>
      </c>
      <c r="P32">
        <v>41.7</v>
      </c>
      <c r="Q32">
        <v>100</v>
      </c>
      <c r="R32">
        <v>3</v>
      </c>
      <c r="S32" t="s">
        <v>40</v>
      </c>
      <c r="T32" t="s">
        <v>40</v>
      </c>
      <c r="AC32">
        <v>2020</v>
      </c>
      <c r="AD32" t="s">
        <v>108</v>
      </c>
      <c r="AE32">
        <v>4</v>
      </c>
      <c r="AF32">
        <f t="shared" si="4"/>
        <v>67.813767177616327</v>
      </c>
    </row>
    <row r="33" spans="1:34">
      <c r="A33" s="139">
        <v>44432</v>
      </c>
      <c r="B33">
        <v>25</v>
      </c>
      <c r="C33" t="s">
        <v>2097</v>
      </c>
      <c r="D33">
        <v>2657.9</v>
      </c>
      <c r="H33">
        <v>210.0137</v>
      </c>
      <c r="I33">
        <v>0.184</v>
      </c>
      <c r="J33">
        <v>209.8297</v>
      </c>
      <c r="K33">
        <v>1758.8899100026554</v>
      </c>
      <c r="L33">
        <v>66.175924978466284</v>
      </c>
      <c r="M33">
        <v>1748.6973083263949</v>
      </c>
      <c r="N33">
        <v>65.792441714375826</v>
      </c>
      <c r="O33">
        <v>128</v>
      </c>
      <c r="P33">
        <v>41.7</v>
      </c>
      <c r="Q33">
        <v>100</v>
      </c>
      <c r="R33">
        <v>3</v>
      </c>
      <c r="S33" t="s">
        <v>40</v>
      </c>
      <c r="T33" t="s">
        <v>40</v>
      </c>
      <c r="AC33">
        <v>2020</v>
      </c>
      <c r="AD33" t="s">
        <v>108</v>
      </c>
      <c r="AE33">
        <v>5</v>
      </c>
      <c r="AF33">
        <f t="shared" si="4"/>
        <v>68.788851256892656</v>
      </c>
    </row>
    <row r="34" spans="1:34">
      <c r="A34" s="139">
        <v>44432</v>
      </c>
      <c r="B34">
        <v>26</v>
      </c>
      <c r="C34" t="s">
        <v>2098</v>
      </c>
      <c r="D34">
        <v>3414.6</v>
      </c>
      <c r="H34">
        <v>267.86680000000001</v>
      </c>
      <c r="I34">
        <v>0.184</v>
      </c>
      <c r="J34">
        <v>267.68279999999999</v>
      </c>
      <c r="K34">
        <v>2244.9185072514206</v>
      </c>
      <c r="L34">
        <v>65.744699445071774</v>
      </c>
      <c r="M34">
        <v>2230.838588842631</v>
      </c>
      <c r="N34">
        <v>65.332354853939876</v>
      </c>
      <c r="O34">
        <v>128</v>
      </c>
      <c r="P34">
        <v>41.7</v>
      </c>
      <c r="Q34">
        <v>100</v>
      </c>
      <c r="R34">
        <v>3</v>
      </c>
      <c r="S34" t="s">
        <v>40</v>
      </c>
      <c r="T34" t="s">
        <v>40</v>
      </c>
      <c r="AC34">
        <v>2020</v>
      </c>
      <c r="AD34" t="s">
        <v>108</v>
      </c>
      <c r="AE34">
        <v>6</v>
      </c>
      <c r="AF34">
        <f t="shared" si="4"/>
        <v>71.438535910152382</v>
      </c>
    </row>
    <row r="35" spans="1:34">
      <c r="A35" s="139">
        <v>44432</v>
      </c>
      <c r="B35">
        <v>27</v>
      </c>
      <c r="C35" t="s">
        <v>2099</v>
      </c>
      <c r="D35">
        <v>2671.7</v>
      </c>
      <c r="H35">
        <v>236.88149999999999</v>
      </c>
      <c r="I35">
        <v>0.184</v>
      </c>
      <c r="J35">
        <v>236.69749999999999</v>
      </c>
      <c r="K35">
        <v>1984.6084824760469</v>
      </c>
      <c r="L35">
        <v>74.282609667105106</v>
      </c>
      <c r="M35">
        <v>1972.6105557868443</v>
      </c>
      <c r="N35">
        <v>73.83353504460996</v>
      </c>
      <c r="O35">
        <v>128</v>
      </c>
      <c r="P35">
        <v>41.7</v>
      </c>
      <c r="Q35">
        <v>100</v>
      </c>
      <c r="R35">
        <v>3</v>
      </c>
      <c r="S35" t="s">
        <v>40</v>
      </c>
      <c r="T35" t="s">
        <v>40</v>
      </c>
      <c r="AC35">
        <v>2020</v>
      </c>
      <c r="AD35" t="s">
        <v>108</v>
      </c>
      <c r="AE35">
        <v>7</v>
      </c>
      <c r="AF35">
        <f>L117</f>
        <v>71.687960823937473</v>
      </c>
    </row>
    <row r="36" spans="1:34">
      <c r="A36" s="139">
        <v>44432</v>
      </c>
      <c r="B36">
        <v>28</v>
      </c>
      <c r="C36" t="s">
        <v>2100</v>
      </c>
      <c r="D36">
        <v>3409.2</v>
      </c>
      <c r="H36">
        <v>301.73899999999998</v>
      </c>
      <c r="I36">
        <v>0.184</v>
      </c>
      <c r="J36">
        <v>301.55499999999995</v>
      </c>
      <c r="K36">
        <v>2529.4816136662821</v>
      </c>
      <c r="L36">
        <v>74.195753070112701</v>
      </c>
      <c r="M36">
        <v>2513.1257243963364</v>
      </c>
      <c r="N36">
        <v>73.715995670431084</v>
      </c>
      <c r="O36">
        <v>128</v>
      </c>
      <c r="P36">
        <v>41.7</v>
      </c>
      <c r="Q36">
        <v>100</v>
      </c>
      <c r="R36">
        <v>3</v>
      </c>
      <c r="S36" t="s">
        <v>40</v>
      </c>
      <c r="T36" t="s">
        <v>40</v>
      </c>
      <c r="AC36">
        <v>2020</v>
      </c>
      <c r="AD36" t="s">
        <v>108</v>
      </c>
      <c r="AE36">
        <v>8</v>
      </c>
      <c r="AF36">
        <f t="shared" ref="AF36:AF38" si="5">L118</f>
        <v>69.964595670957223</v>
      </c>
    </row>
    <row r="37" spans="1:34">
      <c r="A37" s="139">
        <v>44432</v>
      </c>
      <c r="B37">
        <v>29</v>
      </c>
      <c r="C37" t="s">
        <v>2101</v>
      </c>
      <c r="D37">
        <v>3125.1</v>
      </c>
      <c r="H37">
        <v>275.30309999999997</v>
      </c>
      <c r="I37">
        <v>0.184</v>
      </c>
      <c r="J37">
        <v>275.11909999999995</v>
      </c>
      <c r="K37">
        <v>2307.3914682115242</v>
      </c>
      <c r="L37">
        <v>73.834164289511506</v>
      </c>
      <c r="M37">
        <v>2292.8118833472104</v>
      </c>
      <c r="N37">
        <v>73.367632502870634</v>
      </c>
      <c r="O37">
        <v>128</v>
      </c>
      <c r="P37">
        <v>41.7</v>
      </c>
      <c r="Q37">
        <v>100</v>
      </c>
      <c r="R37">
        <v>3</v>
      </c>
      <c r="S37" t="s">
        <v>40</v>
      </c>
      <c r="T37" t="s">
        <v>40</v>
      </c>
      <c r="AC37">
        <v>2020</v>
      </c>
      <c r="AD37" t="s">
        <v>108</v>
      </c>
      <c r="AE37">
        <v>9</v>
      </c>
      <c r="AF37">
        <f t="shared" si="5"/>
        <v>68.095542501617928</v>
      </c>
    </row>
    <row r="38" spans="1:34">
      <c r="A38" s="139">
        <v>44432</v>
      </c>
      <c r="B38">
        <v>30</v>
      </c>
      <c r="C38" t="s">
        <v>2102</v>
      </c>
      <c r="H38">
        <v>0.1837</v>
      </c>
      <c r="I38">
        <v>0.184</v>
      </c>
      <c r="J38">
        <v>-2.9999999999999472E-4</v>
      </c>
      <c r="O38">
        <v>128</v>
      </c>
      <c r="P38">
        <v>41.7</v>
      </c>
      <c r="Q38">
        <v>100</v>
      </c>
      <c r="R38">
        <v>3</v>
      </c>
      <c r="S38" t="s">
        <v>40</v>
      </c>
      <c r="T38" t="s">
        <v>40</v>
      </c>
      <c r="AC38">
        <v>2020</v>
      </c>
      <c r="AD38" t="s">
        <v>108</v>
      </c>
      <c r="AE38">
        <v>10</v>
      </c>
      <c r="AF38">
        <f t="shared" si="5"/>
        <v>65.52664917410354</v>
      </c>
    </row>
    <row r="39" spans="1:34">
      <c r="A39" s="139">
        <v>44432</v>
      </c>
      <c r="B39">
        <v>31</v>
      </c>
      <c r="C39" t="s">
        <v>2103</v>
      </c>
      <c r="D39">
        <v>1827.7</v>
      </c>
      <c r="G39">
        <v>1827.33446</v>
      </c>
      <c r="H39">
        <v>218.08029999999999</v>
      </c>
      <c r="I39">
        <v>0.184</v>
      </c>
      <c r="J39">
        <v>217.8963</v>
      </c>
      <c r="K39">
        <v>1826.6580725136857</v>
      </c>
      <c r="L39">
        <v>99.962985019922726</v>
      </c>
      <c r="M39">
        <v>1815.9234527060785</v>
      </c>
      <c r="N39">
        <v>99.375538110635674</v>
      </c>
      <c r="O39">
        <v>128</v>
      </c>
      <c r="P39">
        <v>41.7</v>
      </c>
      <c r="Q39">
        <v>100</v>
      </c>
      <c r="R39">
        <v>3</v>
      </c>
      <c r="S39" t="s">
        <v>40</v>
      </c>
      <c r="T39" t="s">
        <v>40</v>
      </c>
      <c r="AC39">
        <v>2020</v>
      </c>
      <c r="AD39" t="s">
        <v>108</v>
      </c>
      <c r="AE39">
        <v>11</v>
      </c>
      <c r="AF39">
        <f>AVERAGE(L121,L125)</f>
        <v>53.2275104760839</v>
      </c>
      <c r="AG39" s="127" t="s">
        <v>2197</v>
      </c>
      <c r="AH39">
        <f>((L121-L125)/AVERAGE(L121,L125))*100</f>
        <v>-1.3451086657035296</v>
      </c>
    </row>
    <row r="40" spans="1:34">
      <c r="A40" s="139">
        <v>44432</v>
      </c>
      <c r="B40">
        <v>32</v>
      </c>
      <c r="C40" t="s">
        <v>2104</v>
      </c>
      <c r="H40">
        <v>0.2361</v>
      </c>
      <c r="I40">
        <v>0.184</v>
      </c>
      <c r="J40">
        <v>5.2100000000000007E-2</v>
      </c>
      <c r="O40">
        <v>128</v>
      </c>
      <c r="P40">
        <v>41.7</v>
      </c>
      <c r="Q40">
        <v>100</v>
      </c>
      <c r="R40">
        <v>3</v>
      </c>
      <c r="S40" t="s">
        <v>40</v>
      </c>
      <c r="T40" t="s">
        <v>40</v>
      </c>
      <c r="AC40">
        <v>2020</v>
      </c>
      <c r="AD40" t="s">
        <v>108</v>
      </c>
      <c r="AE40">
        <v>12</v>
      </c>
      <c r="AF40">
        <f>L122</f>
        <v>61.949250762155472</v>
      </c>
    </row>
    <row r="41" spans="1:34">
      <c r="AC41">
        <v>2020</v>
      </c>
      <c r="AD41" t="s">
        <v>108</v>
      </c>
      <c r="AE41">
        <v>13</v>
      </c>
      <c r="AF41">
        <f>L123</f>
        <v>58.118808149668325</v>
      </c>
    </row>
    <row r="42" spans="1:34">
      <c r="A42" t="s">
        <v>2105</v>
      </c>
      <c r="AC42">
        <v>2020</v>
      </c>
      <c r="AD42" t="s">
        <v>108</v>
      </c>
      <c r="AE42">
        <v>14</v>
      </c>
      <c r="AF42">
        <f>AVERAGE(L156,L162)</f>
        <v>63.718579220613371</v>
      </c>
      <c r="AG42" s="127" t="s">
        <v>2197</v>
      </c>
      <c r="AH42">
        <f>((L156-L162)/AVERAGE(L156,L162))*100</f>
        <v>1.6477315821763563</v>
      </c>
    </row>
    <row r="43" spans="1:34">
      <c r="A43" t="s">
        <v>2071</v>
      </c>
      <c r="X43" s="366">
        <f>A48</f>
        <v>44434</v>
      </c>
      <c r="AC43">
        <v>2020</v>
      </c>
      <c r="AD43" t="s">
        <v>108</v>
      </c>
      <c r="AE43">
        <v>15</v>
      </c>
      <c r="AF43">
        <f>L126</f>
        <v>72.744007092626234</v>
      </c>
    </row>
    <row r="44" spans="1:34">
      <c r="A44" t="s">
        <v>2106</v>
      </c>
      <c r="X44" s="125">
        <f>((J49-INDEX(LINEST($J$49:$J$54,$G$49:$G$54),2))/INDEX(LINEST($J$49:$J$54,$G$49:$G$54),1)/100.09)*12.01</f>
        <v>6.773837718792125E-2</v>
      </c>
      <c r="Y44" s="125">
        <f>(J49-X44)^2</f>
        <v>8.5174868171072809E-2</v>
      </c>
      <c r="AC44">
        <v>2020</v>
      </c>
      <c r="AD44" t="s">
        <v>108</v>
      </c>
      <c r="AE44">
        <v>16</v>
      </c>
      <c r="AF44">
        <f t="shared" ref="AF44:AF48" si="6">L127</f>
        <v>72.531268687530698</v>
      </c>
    </row>
    <row r="45" spans="1:34">
      <c r="A45" t="s">
        <v>2107</v>
      </c>
      <c r="X45" s="125">
        <f t="shared" ref="X45:X48" si="7">((J50-INDEX(LINEST($J$49:$J$54,$G$49:$G$54),2))/INDEX(LINEST($J$49:$J$54,$G$49:$G$54),1)/100.09)*12.01</f>
        <v>28.596751737993532</v>
      </c>
      <c r="Y45" s="125">
        <f t="shared" ref="Y45:Y48" si="8">(J50-X45)^2</f>
        <v>1.8868122605117737E-3</v>
      </c>
      <c r="AC45">
        <v>2020</v>
      </c>
      <c r="AD45" t="s">
        <v>108</v>
      </c>
      <c r="AE45">
        <v>17</v>
      </c>
      <c r="AF45">
        <f t="shared" si="6"/>
        <v>71.054357565516824</v>
      </c>
    </row>
    <row r="46" spans="1:34">
      <c r="A46" t="s">
        <v>2108</v>
      </c>
      <c r="X46" s="125">
        <f t="shared" si="7"/>
        <v>157.03754112950958</v>
      </c>
      <c r="Y46" s="125">
        <f t="shared" si="8"/>
        <v>2.4115817821800034</v>
      </c>
      <c r="AC46">
        <v>2020</v>
      </c>
      <c r="AD46" t="s">
        <v>108</v>
      </c>
      <c r="AE46">
        <v>18</v>
      </c>
      <c r="AF46">
        <f t="shared" si="6"/>
        <v>73.102295555709006</v>
      </c>
    </row>
    <row r="47" spans="1:34">
      <c r="A47" s="139">
        <v>44434</v>
      </c>
      <c r="B47">
        <v>1</v>
      </c>
      <c r="C47" t="s">
        <v>2073</v>
      </c>
      <c r="H47">
        <v>0.2203</v>
      </c>
      <c r="X47" s="125">
        <f t="shared" si="7"/>
        <v>223.50894056594933</v>
      </c>
      <c r="Y47" s="125">
        <f t="shared" si="8"/>
        <v>5.4481454920838646</v>
      </c>
      <c r="AC47">
        <v>2020</v>
      </c>
      <c r="AD47" t="s">
        <v>108</v>
      </c>
      <c r="AE47">
        <v>19</v>
      </c>
      <c r="AF47">
        <f t="shared" si="6"/>
        <v>70.798797854877336</v>
      </c>
    </row>
    <row r="48" spans="1:34">
      <c r="A48" s="139">
        <v>44434</v>
      </c>
      <c r="B48">
        <v>2</v>
      </c>
      <c r="C48" t="s">
        <v>2074</v>
      </c>
      <c r="H48">
        <v>0.41649999999999998</v>
      </c>
      <c r="X48" s="125">
        <f t="shared" si="7"/>
        <v>333.77037868657186</v>
      </c>
      <c r="Y48" s="125">
        <f t="shared" si="8"/>
        <v>13.176641551493493</v>
      </c>
      <c r="AC48">
        <v>2020</v>
      </c>
      <c r="AD48" t="s">
        <v>108</v>
      </c>
      <c r="AE48">
        <v>20</v>
      </c>
      <c r="AF48">
        <f t="shared" si="6"/>
        <v>63.780126009952184</v>
      </c>
    </row>
    <row r="49" spans="1:34" ht="15.75">
      <c r="A49" s="139">
        <v>44434</v>
      </c>
      <c r="B49">
        <v>3</v>
      </c>
      <c r="C49" t="s">
        <v>2075</v>
      </c>
      <c r="G49">
        <v>0</v>
      </c>
      <c r="H49">
        <v>0.3206</v>
      </c>
      <c r="I49">
        <v>0.35958571428571423</v>
      </c>
      <c r="J49">
        <v>0.35958571428571423</v>
      </c>
      <c r="X49" s="125">
        <f>((J54-INDEX(LINEST($J$49:$J$54,$G$49:$G$54),2))/INDEX(LINEST($J$49:$J$54,$G$49:$G$54),1)/100.09)*12.01</f>
        <v>457.31057426849867</v>
      </c>
      <c r="Y49" s="125">
        <f>(J54-X49)^2</f>
        <v>25.825300884625545</v>
      </c>
      <c r="AA49" s="226" t="s">
        <v>2193</v>
      </c>
      <c r="AC49">
        <v>2020</v>
      </c>
      <c r="AD49" t="s">
        <v>108</v>
      </c>
      <c r="AE49">
        <v>21</v>
      </c>
      <c r="AF49">
        <f>L154</f>
        <v>61.105419875883626</v>
      </c>
    </row>
    <row r="50" spans="1:34" ht="15.75">
      <c r="A50" s="139">
        <v>44434</v>
      </c>
      <c r="B50">
        <v>4</v>
      </c>
      <c r="C50" t="s">
        <v>2109</v>
      </c>
      <c r="D50">
        <v>240.9</v>
      </c>
      <c r="G50">
        <v>240.85182</v>
      </c>
      <c r="H50">
        <v>28.9129</v>
      </c>
      <c r="I50">
        <v>0.35958571428571423</v>
      </c>
      <c r="J50">
        <v>28.553314285714286</v>
      </c>
      <c r="K50">
        <v>238.32213833936495</v>
      </c>
      <c r="L50">
        <v>98.949693774107644</v>
      </c>
      <c r="M50">
        <v>237.96013545854649</v>
      </c>
      <c r="N50">
        <v>98.799392696532877</v>
      </c>
      <c r="O50">
        <v>128</v>
      </c>
      <c r="P50">
        <v>41.7</v>
      </c>
      <c r="Q50">
        <v>100</v>
      </c>
      <c r="R50">
        <v>3</v>
      </c>
      <c r="S50" t="s">
        <v>40</v>
      </c>
      <c r="T50" t="s">
        <v>40</v>
      </c>
      <c r="Y50" s="225">
        <f>SQRT(SUM(Y44:Y49)/(6-2))</f>
        <v>3.425957216268706</v>
      </c>
      <c r="Z50" s="226" t="s">
        <v>2194</v>
      </c>
      <c r="AA50" s="225">
        <f>(Y50/$AK$15)*100</f>
        <v>1.4654113194466296</v>
      </c>
      <c r="AC50">
        <v>2020</v>
      </c>
      <c r="AD50" t="s">
        <v>109</v>
      </c>
      <c r="AE50">
        <v>1</v>
      </c>
      <c r="AF50">
        <f>L78</f>
        <v>68.576369776126299</v>
      </c>
    </row>
    <row r="51" spans="1:34" ht="15.75">
      <c r="A51" s="139">
        <v>44434</v>
      </c>
      <c r="B51">
        <v>5</v>
      </c>
      <c r="C51" t="s">
        <v>2110</v>
      </c>
      <c r="D51">
        <v>1305.8</v>
      </c>
      <c r="G51">
        <v>1305.5388399999999</v>
      </c>
      <c r="H51">
        <v>155.8442</v>
      </c>
      <c r="I51">
        <v>0.35958571428571423</v>
      </c>
      <c r="J51">
        <v>155.48461428571429</v>
      </c>
      <c r="K51">
        <v>1308.7333465156214</v>
      </c>
      <c r="L51">
        <v>100.24468873830068</v>
      </c>
      <c r="M51">
        <v>1295.7914274652078</v>
      </c>
      <c r="N51">
        <v>99.253380118909973</v>
      </c>
      <c r="O51">
        <v>128</v>
      </c>
      <c r="P51">
        <v>41.7</v>
      </c>
      <c r="Q51">
        <v>100</v>
      </c>
      <c r="R51">
        <v>3</v>
      </c>
      <c r="S51" t="s">
        <v>40</v>
      </c>
      <c r="T51" t="s">
        <v>40</v>
      </c>
      <c r="Y51" s="225">
        <f>(Y50/12.01)*100.09</f>
        <v>28.551545193699816</v>
      </c>
      <c r="Z51" s="226" t="s">
        <v>2195</v>
      </c>
      <c r="AC51">
        <v>2020</v>
      </c>
      <c r="AD51" t="s">
        <v>109</v>
      </c>
      <c r="AE51">
        <v>2</v>
      </c>
      <c r="AF51">
        <f t="shared" ref="AF51:AF53" si="9">L79</f>
        <v>68.21062326798419</v>
      </c>
    </row>
    <row r="52" spans="1:34">
      <c r="A52" s="139">
        <v>44434</v>
      </c>
      <c r="B52">
        <v>6</v>
      </c>
      <c r="C52" t="s">
        <v>2111</v>
      </c>
      <c r="D52">
        <v>1863.1</v>
      </c>
      <c r="G52">
        <v>1862.72738</v>
      </c>
      <c r="H52">
        <v>221.53440000000001</v>
      </c>
      <c r="I52">
        <v>0.35958571428571423</v>
      </c>
      <c r="J52">
        <v>221.17481428571429</v>
      </c>
      <c r="K52">
        <v>1862.6985729596895</v>
      </c>
      <c r="L52">
        <v>99.998453502073374</v>
      </c>
      <c r="M52">
        <v>1843.2462249672892</v>
      </c>
      <c r="N52">
        <v>98.954159624114681</v>
      </c>
      <c r="O52">
        <v>128</v>
      </c>
      <c r="P52">
        <v>41.7</v>
      </c>
      <c r="Q52">
        <v>100</v>
      </c>
      <c r="R52">
        <v>3</v>
      </c>
      <c r="S52" t="s">
        <v>40</v>
      </c>
      <c r="T52" t="s">
        <v>40</v>
      </c>
      <c r="AC52">
        <v>2020</v>
      </c>
      <c r="AD52" t="s">
        <v>109</v>
      </c>
      <c r="AE52">
        <v>3</v>
      </c>
      <c r="AF52">
        <f t="shared" si="9"/>
        <v>70.547549325549454</v>
      </c>
    </row>
    <row r="53" spans="1:34">
      <c r="A53" s="139">
        <v>44434</v>
      </c>
      <c r="B53">
        <v>7</v>
      </c>
      <c r="C53" t="s">
        <v>2112</v>
      </c>
      <c r="D53">
        <v>2783.2</v>
      </c>
      <c r="G53">
        <v>2782.64336</v>
      </c>
      <c r="H53">
        <v>330.5</v>
      </c>
      <c r="I53">
        <v>0.35958571428571423</v>
      </c>
      <c r="J53">
        <v>330.14041428571426</v>
      </c>
      <c r="K53">
        <v>2781.6050959815971</v>
      </c>
      <c r="L53">
        <v>99.962687851654735</v>
      </c>
      <c r="M53">
        <v>2751.353377673367</v>
      </c>
      <c r="N53">
        <v>98.875530268218313</v>
      </c>
      <c r="O53">
        <v>128</v>
      </c>
      <c r="P53">
        <v>41.7</v>
      </c>
      <c r="Q53">
        <v>100</v>
      </c>
      <c r="R53">
        <v>3</v>
      </c>
      <c r="S53" t="s">
        <v>40</v>
      </c>
      <c r="T53" t="s">
        <v>40</v>
      </c>
      <c r="AC53">
        <v>2020</v>
      </c>
      <c r="AD53" t="s">
        <v>109</v>
      </c>
      <c r="AE53">
        <v>4</v>
      </c>
      <c r="AF53">
        <f t="shared" si="9"/>
        <v>72.342737446932716</v>
      </c>
    </row>
    <row r="54" spans="1:34">
      <c r="A54" s="139">
        <v>44434</v>
      </c>
      <c r="B54">
        <v>8</v>
      </c>
      <c r="C54" t="s">
        <v>2113</v>
      </c>
      <c r="D54">
        <v>3812.1</v>
      </c>
      <c r="G54">
        <v>3811.3375799999999</v>
      </c>
      <c r="H54">
        <v>452.5883</v>
      </c>
      <c r="I54">
        <v>0.35958571428571423</v>
      </c>
      <c r="J54">
        <v>452.22871428571426</v>
      </c>
      <c r="K54">
        <v>3811.1753021260647</v>
      </c>
      <c r="L54">
        <v>99.995742232994871</v>
      </c>
      <c r="M54">
        <v>3768.8236480314022</v>
      </c>
      <c r="N54">
        <v>98.88454037260594</v>
      </c>
      <c r="O54">
        <v>128</v>
      </c>
      <c r="P54">
        <v>41.7</v>
      </c>
      <c r="Q54">
        <v>100</v>
      </c>
      <c r="R54">
        <v>3</v>
      </c>
      <c r="S54" t="s">
        <v>40</v>
      </c>
      <c r="T54" t="s">
        <v>40</v>
      </c>
      <c r="AC54">
        <v>2020</v>
      </c>
      <c r="AD54" t="s">
        <v>109</v>
      </c>
      <c r="AE54">
        <v>5</v>
      </c>
      <c r="AF54">
        <f>L23</f>
        <v>70.491654966838951</v>
      </c>
    </row>
    <row r="55" spans="1:34">
      <c r="A55" s="139">
        <v>44434</v>
      </c>
      <c r="B55">
        <v>9</v>
      </c>
      <c r="C55" t="s">
        <v>2082</v>
      </c>
      <c r="H55">
        <v>0.50349999999999995</v>
      </c>
      <c r="I55">
        <v>0.35958571428571423</v>
      </c>
      <c r="J55">
        <v>0.14391428571428572</v>
      </c>
      <c r="O55">
        <v>128</v>
      </c>
      <c r="P55">
        <v>41.7</v>
      </c>
      <c r="Q55">
        <v>100</v>
      </c>
      <c r="R55">
        <v>3</v>
      </c>
      <c r="S55" t="s">
        <v>40</v>
      </c>
      <c r="T55" t="s">
        <v>40</v>
      </c>
      <c r="AC55">
        <v>2020</v>
      </c>
      <c r="AD55" t="s">
        <v>109</v>
      </c>
      <c r="AE55">
        <v>6</v>
      </c>
      <c r="AF55">
        <f t="shared" ref="AF55:AF59" si="10">L24</f>
        <v>72.974725773626474</v>
      </c>
    </row>
    <row r="56" spans="1:34">
      <c r="A56" s="139">
        <v>44434</v>
      </c>
      <c r="B56">
        <v>10</v>
      </c>
      <c r="C56" t="s">
        <v>2083</v>
      </c>
      <c r="H56">
        <v>0.41239999999999999</v>
      </c>
      <c r="I56">
        <v>0.35958571428571423</v>
      </c>
      <c r="J56">
        <v>5.2814285714285758E-2</v>
      </c>
      <c r="O56">
        <v>128</v>
      </c>
      <c r="P56">
        <v>41.7</v>
      </c>
      <c r="Q56">
        <v>100</v>
      </c>
      <c r="R56">
        <v>3</v>
      </c>
      <c r="S56" t="s">
        <v>40</v>
      </c>
      <c r="T56" t="s">
        <v>40</v>
      </c>
      <c r="AC56">
        <v>2020</v>
      </c>
      <c r="AD56" t="s">
        <v>109</v>
      </c>
      <c r="AE56">
        <v>7</v>
      </c>
      <c r="AF56">
        <f t="shared" si="10"/>
        <v>73.018822464509</v>
      </c>
    </row>
    <row r="57" spans="1:34">
      <c r="A57" s="139">
        <v>44434</v>
      </c>
      <c r="B57">
        <v>11</v>
      </c>
      <c r="C57" t="s">
        <v>2085</v>
      </c>
      <c r="H57">
        <v>0.27010000000000001</v>
      </c>
      <c r="AC57">
        <v>2020</v>
      </c>
      <c r="AD57" t="s">
        <v>109</v>
      </c>
      <c r="AE57">
        <v>8</v>
      </c>
      <c r="AF57">
        <f t="shared" si="10"/>
        <v>72.701089482281674</v>
      </c>
    </row>
    <row r="58" spans="1:34">
      <c r="A58" s="139">
        <v>44434</v>
      </c>
      <c r="B58">
        <v>12</v>
      </c>
      <c r="C58" t="s">
        <v>2086</v>
      </c>
      <c r="H58">
        <v>0.37369999999999998</v>
      </c>
      <c r="AC58">
        <v>2020</v>
      </c>
      <c r="AD58" t="s">
        <v>109</v>
      </c>
      <c r="AE58">
        <v>9</v>
      </c>
      <c r="AF58">
        <f t="shared" si="10"/>
        <v>72.457462317211593</v>
      </c>
    </row>
    <row r="59" spans="1:34">
      <c r="AC59">
        <v>2020</v>
      </c>
      <c r="AD59" t="s">
        <v>109</v>
      </c>
      <c r="AE59">
        <v>10</v>
      </c>
      <c r="AF59">
        <f t="shared" si="10"/>
        <v>73.506477766342272</v>
      </c>
    </row>
    <row r="60" spans="1:34">
      <c r="AC60">
        <v>2020</v>
      </c>
      <c r="AD60" t="s">
        <v>109</v>
      </c>
      <c r="AE60">
        <v>11</v>
      </c>
      <c r="AF60">
        <f>L31</f>
        <v>67.28810833802774</v>
      </c>
    </row>
    <row r="61" spans="1:34">
      <c r="A61" t="s">
        <v>2105</v>
      </c>
      <c r="AC61">
        <v>2020</v>
      </c>
      <c r="AD61" t="s">
        <v>109</v>
      </c>
      <c r="AE61">
        <v>12</v>
      </c>
      <c r="AF61">
        <f>AVERAGE(L29,L32)</f>
        <v>61.132867810435712</v>
      </c>
      <c r="AG61" s="127" t="s">
        <v>2197</v>
      </c>
      <c r="AH61">
        <f>((L29-L32)/AVERAGE(L29,L32))*100</f>
        <v>-0.45434811927569235</v>
      </c>
    </row>
    <row r="62" spans="1:34">
      <c r="A62" t="s">
        <v>2114</v>
      </c>
      <c r="AC62">
        <v>2020</v>
      </c>
      <c r="AD62" t="s">
        <v>109</v>
      </c>
      <c r="AE62">
        <v>13</v>
      </c>
      <c r="AF62">
        <f>L33</f>
        <v>66.175924978466284</v>
      </c>
    </row>
    <row r="63" spans="1:34">
      <c r="A63" t="s">
        <v>2106</v>
      </c>
      <c r="AC63">
        <v>2020</v>
      </c>
      <c r="AD63" t="s">
        <v>109</v>
      </c>
      <c r="AE63">
        <v>14</v>
      </c>
      <c r="AF63">
        <f>L34</f>
        <v>65.744699445071774</v>
      </c>
    </row>
    <row r="64" spans="1:34">
      <c r="A64" s="139">
        <v>44434</v>
      </c>
      <c r="B64">
        <v>1</v>
      </c>
      <c r="C64" t="s">
        <v>2073</v>
      </c>
      <c r="H64">
        <v>0</v>
      </c>
      <c r="X64" s="366">
        <f>A64</f>
        <v>44434</v>
      </c>
      <c r="AC64">
        <v>2020</v>
      </c>
      <c r="AD64" t="s">
        <v>109</v>
      </c>
      <c r="AE64">
        <v>15</v>
      </c>
      <c r="AF64">
        <f>AVERAGE(L82,L87)</f>
        <v>67.498158357656479</v>
      </c>
      <c r="AG64" s="127" t="s">
        <v>2197</v>
      </c>
      <c r="AH64">
        <f>((L82-L87)/AVERAGE(L82,L87))*100</f>
        <v>-0.41281886168782583</v>
      </c>
    </row>
    <row r="65" spans="1:32">
      <c r="A65" s="139">
        <v>44434</v>
      </c>
      <c r="B65">
        <v>2</v>
      </c>
      <c r="C65" t="s">
        <v>2074</v>
      </c>
      <c r="H65">
        <v>0</v>
      </c>
      <c r="X65" s="125">
        <f>((V67-INDEX(LINEST($V$67:$V$71,$U$67:$U$71),2))/INDEX(LINEST($V$67:$V$71,$U$67:$U$71),1)/100.09)*12.01</f>
        <v>0.64646240654127984</v>
      </c>
      <c r="Y65" s="125">
        <f>(V67-X65)^2</f>
        <v>0.22128783222795836</v>
      </c>
      <c r="AC65">
        <v>2020</v>
      </c>
      <c r="AD65" t="s">
        <v>109</v>
      </c>
      <c r="AE65">
        <v>16</v>
      </c>
      <c r="AF65">
        <f>L35</f>
        <v>74.282609667105106</v>
      </c>
    </row>
    <row r="66" spans="1:32">
      <c r="A66" s="139">
        <v>44434</v>
      </c>
      <c r="B66">
        <v>3</v>
      </c>
      <c r="C66" t="s">
        <v>2075</v>
      </c>
      <c r="G66">
        <v>0</v>
      </c>
      <c r="H66">
        <v>0</v>
      </c>
      <c r="I66">
        <v>0.17604999999999998</v>
      </c>
      <c r="J66">
        <v>0.17604999999999998</v>
      </c>
      <c r="W66" s="563" t="s">
        <v>2078</v>
      </c>
      <c r="X66" s="125">
        <f t="shared" ref="X66:X69" si="11">((V68-INDEX(LINEST($V$67:$V$71,$U$67:$U$71),2))/INDEX(LINEST($V$67:$V$71,$U$67:$U$71),1)/100.09)*12.01</f>
        <v>110.58463112096128</v>
      </c>
      <c r="Y66" s="125">
        <f t="shared" ref="Y66:Y68" si="12">(V68-X66)^2</f>
        <v>1.0295777772352497</v>
      </c>
      <c r="AC66">
        <v>2020</v>
      </c>
      <c r="AD66" t="s">
        <v>109</v>
      </c>
      <c r="AE66">
        <v>17</v>
      </c>
      <c r="AF66">
        <f t="shared" ref="AF66:AF67" si="13">L36</f>
        <v>74.195753070112701</v>
      </c>
    </row>
    <row r="67" spans="1:32">
      <c r="A67" s="139">
        <v>44434</v>
      </c>
      <c r="B67">
        <v>4</v>
      </c>
      <c r="C67" t="s">
        <v>2115</v>
      </c>
      <c r="D67">
        <v>230.6</v>
      </c>
      <c r="G67">
        <v>230.55387999999999</v>
      </c>
      <c r="H67">
        <v>20.375800000000002</v>
      </c>
      <c r="I67">
        <v>0.17604999999999998</v>
      </c>
      <c r="J67">
        <v>20.199750000000002</v>
      </c>
      <c r="K67">
        <v>192.9756819295115</v>
      </c>
      <c r="L67">
        <v>83.700904070454811</v>
      </c>
      <c r="M67">
        <v>168.34246273938388</v>
      </c>
      <c r="N67">
        <v>73.016538580649296</v>
      </c>
      <c r="O67">
        <v>128</v>
      </c>
      <c r="P67">
        <v>41.7</v>
      </c>
      <c r="Q67">
        <v>100</v>
      </c>
      <c r="R67">
        <v>3</v>
      </c>
      <c r="S67" t="s">
        <v>40</v>
      </c>
      <c r="T67" t="s">
        <v>40</v>
      </c>
      <c r="U67">
        <v>0</v>
      </c>
      <c r="V67">
        <v>0.17604999999999998</v>
      </c>
      <c r="W67" s="563"/>
      <c r="X67" s="125">
        <f t="shared" si="11"/>
        <v>256.59015779005767</v>
      </c>
      <c r="Y67" s="125">
        <f t="shared" si="12"/>
        <v>3.0189333205111617</v>
      </c>
      <c r="AC67">
        <v>2020</v>
      </c>
      <c r="AD67" t="s">
        <v>109</v>
      </c>
      <c r="AE67">
        <v>18</v>
      </c>
      <c r="AF67">
        <f t="shared" si="13"/>
        <v>73.834164289511506</v>
      </c>
    </row>
    <row r="68" spans="1:32">
      <c r="A68" s="139">
        <v>44434</v>
      </c>
      <c r="B68">
        <v>5</v>
      </c>
      <c r="C68" t="s">
        <v>2116</v>
      </c>
      <c r="D68">
        <v>936</v>
      </c>
      <c r="G68">
        <v>935.81280000000004</v>
      </c>
      <c r="H68">
        <v>109.746</v>
      </c>
      <c r="I68">
        <v>0.17604999999999998</v>
      </c>
      <c r="J68">
        <v>109.56994999999999</v>
      </c>
      <c r="K68">
        <v>921.59997742689541</v>
      </c>
      <c r="L68">
        <v>98.481232296341247</v>
      </c>
      <c r="M68">
        <v>913.14373817651961</v>
      </c>
      <c r="N68">
        <v>97.577607206966988</v>
      </c>
      <c r="O68">
        <v>128</v>
      </c>
      <c r="P68">
        <v>41.7</v>
      </c>
      <c r="Q68">
        <v>100</v>
      </c>
      <c r="R68">
        <v>3</v>
      </c>
      <c r="S68" t="s">
        <v>40</v>
      </c>
      <c r="T68" t="s">
        <v>40</v>
      </c>
      <c r="U68">
        <v>935.81280000000004</v>
      </c>
      <c r="V68">
        <v>109.56994999999999</v>
      </c>
      <c r="W68" s="563"/>
      <c r="X68" s="125">
        <f t="shared" si="11"/>
        <v>384.40864624930094</v>
      </c>
      <c r="Y68" s="125">
        <f t="shared" si="12"/>
        <v>5.6183043094499467</v>
      </c>
      <c r="AC68">
        <v>2020</v>
      </c>
      <c r="AD68" t="s">
        <v>109</v>
      </c>
      <c r="AE68">
        <v>19</v>
      </c>
      <c r="AF68">
        <f>L83</f>
        <v>73.945311417968867</v>
      </c>
    </row>
    <row r="69" spans="1:32">
      <c r="A69" s="139">
        <v>44434</v>
      </c>
      <c r="B69">
        <v>6</v>
      </c>
      <c r="C69" t="s">
        <v>2117</v>
      </c>
      <c r="D69">
        <v>2129.1999999999998</v>
      </c>
      <c r="G69">
        <v>2128.7741599999999</v>
      </c>
      <c r="H69">
        <v>255.02869999999999</v>
      </c>
      <c r="I69">
        <v>0.17604999999999998</v>
      </c>
      <c r="J69">
        <v>254.85264999999998</v>
      </c>
      <c r="K69">
        <v>2138.3937463119796</v>
      </c>
      <c r="L69">
        <v>100.45188383496631</v>
      </c>
      <c r="M69">
        <v>2123.913550249792</v>
      </c>
      <c r="N69">
        <v>99.771670953098763</v>
      </c>
      <c r="O69">
        <v>128</v>
      </c>
      <c r="P69">
        <v>41.7</v>
      </c>
      <c r="Q69">
        <v>100</v>
      </c>
      <c r="R69">
        <v>3</v>
      </c>
      <c r="S69" t="s">
        <v>40</v>
      </c>
      <c r="T69" t="s">
        <v>40</v>
      </c>
      <c r="U69">
        <v>2128.7741599999999</v>
      </c>
      <c r="V69">
        <v>254.85264999999998</v>
      </c>
      <c r="W69" s="563"/>
      <c r="X69" s="125">
        <f t="shared" si="11"/>
        <v>466.54909735371041</v>
      </c>
      <c r="Y69" s="125">
        <f>(V71-X69)^2</f>
        <v>7.7114366052791805</v>
      </c>
      <c r="AC69">
        <v>2020</v>
      </c>
      <c r="AD69" t="s">
        <v>109</v>
      </c>
      <c r="AE69">
        <v>20</v>
      </c>
      <c r="AF69">
        <f>L84</f>
        <v>73.627847786821675</v>
      </c>
    </row>
    <row r="70" spans="1:32" ht="15.75">
      <c r="A70" s="139">
        <v>44434</v>
      </c>
      <c r="B70">
        <v>7</v>
      </c>
      <c r="C70" t="s">
        <v>2118</v>
      </c>
      <c r="D70">
        <v>3198.4</v>
      </c>
      <c r="G70">
        <v>3197.7603200000003</v>
      </c>
      <c r="H70">
        <v>382.21440000000001</v>
      </c>
      <c r="I70">
        <v>0.17604999999999998</v>
      </c>
      <c r="J70">
        <v>382.03835000000004</v>
      </c>
      <c r="K70">
        <v>3203.6187679510854</v>
      </c>
      <c r="L70">
        <v>100.18320472345737</v>
      </c>
      <c r="M70">
        <v>3183.8649834721068</v>
      </c>
      <c r="N70">
        <v>99.565466603579182</v>
      </c>
      <c r="O70">
        <v>128</v>
      </c>
      <c r="P70">
        <v>41.7</v>
      </c>
      <c r="Q70">
        <v>100</v>
      </c>
      <c r="R70">
        <v>3</v>
      </c>
      <c r="S70" t="s">
        <v>40</v>
      </c>
      <c r="T70" t="s">
        <v>40</v>
      </c>
      <c r="U70">
        <v>3197.7603200000003</v>
      </c>
      <c r="V70">
        <v>382.03835000000004</v>
      </c>
      <c r="X70" s="125"/>
      <c r="Y70" s="125"/>
      <c r="AA70" s="226" t="s">
        <v>2193</v>
      </c>
      <c r="AC70">
        <v>2020</v>
      </c>
      <c r="AD70" t="s">
        <v>109</v>
      </c>
      <c r="AE70">
        <v>21</v>
      </c>
      <c r="AF70">
        <f>L86</f>
        <v>73.78008246769933</v>
      </c>
    </row>
    <row r="71" spans="1:32" ht="15.75">
      <c r="A71" s="139">
        <v>44434</v>
      </c>
      <c r="B71">
        <v>8</v>
      </c>
      <c r="C71" t="s">
        <v>2119</v>
      </c>
      <c r="D71">
        <v>3895.6</v>
      </c>
      <c r="G71">
        <v>3894.8208800000002</v>
      </c>
      <c r="H71">
        <v>463.94819999999999</v>
      </c>
      <c r="I71">
        <v>0.17604999999999998</v>
      </c>
      <c r="J71">
        <v>463.77215000000001</v>
      </c>
      <c r="K71">
        <v>3888.1681227421218</v>
      </c>
      <c r="L71">
        <v>99.829189647923471</v>
      </c>
      <c r="M71">
        <v>3865.0253533305581</v>
      </c>
      <c r="N71">
        <v>99.234996227363297</v>
      </c>
      <c r="O71">
        <v>128</v>
      </c>
      <c r="P71">
        <v>41.7</v>
      </c>
      <c r="Q71">
        <v>100</v>
      </c>
      <c r="R71">
        <v>3</v>
      </c>
      <c r="S71" t="s">
        <v>40</v>
      </c>
      <c r="T71" t="s">
        <v>40</v>
      </c>
      <c r="U71">
        <v>3894.8208800000002</v>
      </c>
      <c r="V71">
        <v>463.77215000000001</v>
      </c>
      <c r="Y71" s="225">
        <f>SQRT(SUM(Y65:Y70)/(6-2))</f>
        <v>2.0975902748572883</v>
      </c>
      <c r="Z71" s="226" t="s">
        <v>2194</v>
      </c>
      <c r="AA71" s="225">
        <f>(Y71/$AK$15)*100</f>
        <v>0.89721859856873032</v>
      </c>
    </row>
    <row r="72" spans="1:32" ht="15.75">
      <c r="A72" s="139">
        <v>44434</v>
      </c>
      <c r="B72">
        <v>9</v>
      </c>
      <c r="C72" t="s">
        <v>2082</v>
      </c>
      <c r="H72">
        <v>0.36170000000000002</v>
      </c>
      <c r="I72">
        <v>0.17604999999999998</v>
      </c>
      <c r="J72">
        <v>0.18565000000000004</v>
      </c>
      <c r="O72">
        <v>128</v>
      </c>
      <c r="P72">
        <v>41.7</v>
      </c>
      <c r="Q72">
        <v>100</v>
      </c>
      <c r="R72">
        <v>3</v>
      </c>
      <c r="S72" t="s">
        <v>40</v>
      </c>
      <c r="T72" t="s">
        <v>40</v>
      </c>
      <c r="Y72" s="225">
        <f>(Y71/12.01)*100.09</f>
        <v>17.481083314776519</v>
      </c>
      <c r="Z72" s="226" t="s">
        <v>2195</v>
      </c>
    </row>
    <row r="73" spans="1:32">
      <c r="A73" s="139">
        <v>44434</v>
      </c>
      <c r="B73">
        <v>10</v>
      </c>
      <c r="C73" t="s">
        <v>2083</v>
      </c>
      <c r="H73">
        <v>0.27629999999999999</v>
      </c>
      <c r="I73">
        <v>0.17604999999999998</v>
      </c>
      <c r="J73">
        <v>0.10025000000000001</v>
      </c>
      <c r="O73">
        <v>128</v>
      </c>
      <c r="P73">
        <v>41.7</v>
      </c>
      <c r="Q73">
        <v>100</v>
      </c>
      <c r="R73">
        <v>3</v>
      </c>
      <c r="S73" t="s">
        <v>40</v>
      </c>
      <c r="T73" t="s">
        <v>40</v>
      </c>
    </row>
    <row r="74" spans="1:32">
      <c r="A74" s="139">
        <v>44434</v>
      </c>
      <c r="B74">
        <v>11</v>
      </c>
      <c r="C74" t="s">
        <v>2084</v>
      </c>
      <c r="D74">
        <v>1248.4000000000001</v>
      </c>
      <c r="H74">
        <v>17.782800000000002</v>
      </c>
      <c r="I74">
        <v>0.17604999999999998</v>
      </c>
      <c r="J74">
        <v>17.606750000000002</v>
      </c>
      <c r="K74">
        <v>151.37579569890744</v>
      </c>
      <c r="L74">
        <v>12.125584403949649</v>
      </c>
      <c r="M74">
        <v>146.73269004995839</v>
      </c>
      <c r="N74">
        <v>11.753659888654148</v>
      </c>
      <c r="O74">
        <v>128</v>
      </c>
      <c r="P74">
        <v>41.7</v>
      </c>
      <c r="Q74">
        <v>100</v>
      </c>
      <c r="R74">
        <v>3</v>
      </c>
      <c r="S74" t="s">
        <v>40</v>
      </c>
      <c r="T74" t="s">
        <v>40</v>
      </c>
    </row>
    <row r="75" spans="1:32">
      <c r="A75" s="139">
        <v>44434</v>
      </c>
      <c r="B75">
        <v>12</v>
      </c>
      <c r="C75" t="s">
        <v>2084</v>
      </c>
      <c r="D75">
        <v>2426.3000000000002</v>
      </c>
      <c r="H75">
        <v>34.377099999999999</v>
      </c>
      <c r="I75">
        <v>0.17604999999999998</v>
      </c>
      <c r="J75">
        <v>34.201050000000002</v>
      </c>
      <c r="K75">
        <v>290.35890131994665</v>
      </c>
      <c r="L75">
        <v>11.967147562953743</v>
      </c>
      <c r="M75">
        <v>285.02773476269778</v>
      </c>
      <c r="N75">
        <v>11.74742343332225</v>
      </c>
      <c r="O75">
        <v>128</v>
      </c>
      <c r="P75">
        <v>41.7</v>
      </c>
      <c r="Q75">
        <v>100</v>
      </c>
      <c r="R75">
        <v>3</v>
      </c>
      <c r="S75" t="s">
        <v>40</v>
      </c>
      <c r="T75" t="s">
        <v>40</v>
      </c>
    </row>
    <row r="76" spans="1:32">
      <c r="A76" s="139">
        <v>44434</v>
      </c>
      <c r="B76">
        <v>13</v>
      </c>
      <c r="C76" t="s">
        <v>2085</v>
      </c>
      <c r="H76">
        <v>0</v>
      </c>
      <c r="I76">
        <v>0.17604999999999998</v>
      </c>
      <c r="J76">
        <v>-0.17604999999999998</v>
      </c>
      <c r="O76">
        <v>128</v>
      </c>
      <c r="P76">
        <v>41.7</v>
      </c>
      <c r="Q76">
        <v>100</v>
      </c>
      <c r="R76">
        <v>3</v>
      </c>
      <c r="S76" t="s">
        <v>40</v>
      </c>
      <c r="T76" t="s">
        <v>40</v>
      </c>
    </row>
    <row r="77" spans="1:32">
      <c r="A77" s="139">
        <v>44434</v>
      </c>
      <c r="B77">
        <v>14</v>
      </c>
      <c r="C77" t="s">
        <v>2086</v>
      </c>
      <c r="H77">
        <v>0.1</v>
      </c>
      <c r="I77">
        <v>0.17604999999999998</v>
      </c>
      <c r="J77">
        <v>-7.6049999999999979E-2</v>
      </c>
      <c r="O77">
        <v>128</v>
      </c>
      <c r="P77">
        <v>41.7</v>
      </c>
      <c r="Q77">
        <v>100</v>
      </c>
      <c r="R77">
        <v>3</v>
      </c>
      <c r="S77" t="s">
        <v>40</v>
      </c>
      <c r="T77" t="s">
        <v>40</v>
      </c>
    </row>
    <row r="78" spans="1:32">
      <c r="A78" s="139">
        <v>44434</v>
      </c>
      <c r="B78">
        <v>15</v>
      </c>
      <c r="C78" t="s">
        <v>2120</v>
      </c>
      <c r="D78">
        <v>3377.1</v>
      </c>
      <c r="H78">
        <v>276.2217</v>
      </c>
      <c r="I78">
        <v>0.17604999999999998</v>
      </c>
      <c r="J78">
        <v>276.04565000000002</v>
      </c>
      <c r="K78">
        <v>2315.8925837095612</v>
      </c>
      <c r="L78">
        <v>68.576369776126299</v>
      </c>
      <c r="M78">
        <v>2300.5336476686098</v>
      </c>
      <c r="N78">
        <v>68.121573174279987</v>
      </c>
      <c r="O78">
        <v>128</v>
      </c>
      <c r="P78">
        <v>41.7</v>
      </c>
      <c r="Q78">
        <v>100</v>
      </c>
      <c r="R78">
        <v>3</v>
      </c>
      <c r="S78" t="s">
        <v>40</v>
      </c>
      <c r="T78" t="s">
        <v>40</v>
      </c>
    </row>
    <row r="79" spans="1:32">
      <c r="A79" s="139">
        <v>44434</v>
      </c>
      <c r="B79">
        <v>16</v>
      </c>
      <c r="C79" t="s">
        <v>2121</v>
      </c>
      <c r="D79">
        <v>2334.6999999999998</v>
      </c>
      <c r="H79">
        <v>189.85169999999999</v>
      </c>
      <c r="I79">
        <v>0.17604999999999998</v>
      </c>
      <c r="J79">
        <v>189.67564999999999</v>
      </c>
      <c r="K79">
        <v>1592.5134214376269</v>
      </c>
      <c r="L79">
        <v>68.21062326798419</v>
      </c>
      <c r="M79">
        <v>1580.7357042880933</v>
      </c>
      <c r="N79">
        <v>67.706159433250235</v>
      </c>
      <c r="O79">
        <v>128</v>
      </c>
      <c r="P79">
        <v>41.7</v>
      </c>
      <c r="Q79">
        <v>100</v>
      </c>
      <c r="R79">
        <v>3</v>
      </c>
      <c r="S79" t="s">
        <v>40</v>
      </c>
      <c r="T79" t="s">
        <v>40</v>
      </c>
    </row>
    <row r="80" spans="1:32">
      <c r="A80" s="139">
        <v>44434</v>
      </c>
      <c r="B80">
        <v>17</v>
      </c>
      <c r="C80" t="s">
        <v>2122</v>
      </c>
      <c r="D80">
        <v>3230.9</v>
      </c>
      <c r="H80">
        <v>271.85509999999999</v>
      </c>
      <c r="I80">
        <v>0.17604999999999998</v>
      </c>
      <c r="J80">
        <v>271.67905000000002</v>
      </c>
      <c r="K80">
        <v>2279.3207711591772</v>
      </c>
      <c r="L80">
        <v>70.547549325549454</v>
      </c>
      <c r="M80">
        <v>2264.1428904662785</v>
      </c>
      <c r="N80">
        <v>70.077776794895485</v>
      </c>
      <c r="O80">
        <v>128</v>
      </c>
      <c r="P80">
        <v>41.7</v>
      </c>
      <c r="Q80">
        <v>100</v>
      </c>
      <c r="R80">
        <v>3</v>
      </c>
      <c r="S80" t="s">
        <v>40</v>
      </c>
      <c r="T80" t="s">
        <v>40</v>
      </c>
    </row>
    <row r="81" spans="1:28">
      <c r="A81" s="139">
        <v>44434</v>
      </c>
      <c r="B81">
        <v>18</v>
      </c>
      <c r="C81" t="s">
        <v>2123</v>
      </c>
      <c r="D81">
        <v>3056.4</v>
      </c>
      <c r="H81">
        <v>263.70769999999999</v>
      </c>
      <c r="I81">
        <v>0.17604999999999998</v>
      </c>
      <c r="J81">
        <v>263.53165000000001</v>
      </c>
      <c r="K81">
        <v>2211.0834273280516</v>
      </c>
      <c r="L81">
        <v>72.342737446932716</v>
      </c>
      <c r="M81">
        <v>2196.2433679017486</v>
      </c>
      <c r="N81">
        <v>71.857196960533585</v>
      </c>
      <c r="O81">
        <v>128</v>
      </c>
      <c r="P81">
        <v>41.7</v>
      </c>
      <c r="Q81">
        <v>100</v>
      </c>
      <c r="R81">
        <v>3</v>
      </c>
      <c r="S81" t="s">
        <v>40</v>
      </c>
      <c r="T81" t="s">
        <v>40</v>
      </c>
    </row>
    <row r="82" spans="1:28">
      <c r="A82" s="139">
        <v>44434</v>
      </c>
      <c r="B82">
        <v>19</v>
      </c>
      <c r="C82" t="s">
        <v>2124</v>
      </c>
      <c r="D82">
        <v>3209.9</v>
      </c>
      <c r="H82">
        <v>257.86529999999999</v>
      </c>
      <c r="I82">
        <v>0.17604999999999998</v>
      </c>
      <c r="J82">
        <v>257.68925000000002</v>
      </c>
      <c r="K82">
        <v>2162.1512701246529</v>
      </c>
      <c r="L82">
        <v>67.35883579316031</v>
      </c>
      <c r="M82">
        <v>2147.5534581598672</v>
      </c>
      <c r="N82">
        <v>66.904061128379922</v>
      </c>
      <c r="O82">
        <v>128</v>
      </c>
      <c r="P82">
        <v>41.7</v>
      </c>
      <c r="Q82">
        <v>100</v>
      </c>
      <c r="R82">
        <v>3</v>
      </c>
      <c r="S82" t="s">
        <v>40</v>
      </c>
      <c r="T82" t="s">
        <v>40</v>
      </c>
    </row>
    <row r="83" spans="1:28">
      <c r="A83" s="139">
        <v>44434</v>
      </c>
      <c r="B83">
        <v>20</v>
      </c>
      <c r="C83" t="s">
        <v>2125</v>
      </c>
      <c r="D83">
        <v>2421.4</v>
      </c>
      <c r="H83">
        <v>213.4923</v>
      </c>
      <c r="I83">
        <v>0.17604999999999998</v>
      </c>
      <c r="J83">
        <v>213.31625</v>
      </c>
      <c r="K83">
        <v>1790.5117706746985</v>
      </c>
      <c r="L83">
        <v>73.945311417968867</v>
      </c>
      <c r="M83">
        <v>1777.7538270191508</v>
      </c>
      <c r="N83">
        <v>73.418428471923292</v>
      </c>
      <c r="O83">
        <v>128</v>
      </c>
      <c r="P83">
        <v>41.7</v>
      </c>
      <c r="Q83">
        <v>100</v>
      </c>
      <c r="R83">
        <v>3</v>
      </c>
      <c r="S83" t="s">
        <v>40</v>
      </c>
      <c r="T83" t="s">
        <v>40</v>
      </c>
    </row>
    <row r="84" spans="1:28">
      <c r="A84" s="139">
        <v>44434</v>
      </c>
      <c r="B84">
        <v>21</v>
      </c>
      <c r="C84" t="s">
        <v>2126</v>
      </c>
      <c r="D84">
        <v>2440.1</v>
      </c>
      <c r="H84">
        <v>214.2184</v>
      </c>
      <c r="I84">
        <v>0.17604999999999998</v>
      </c>
      <c r="J84">
        <v>214.04235</v>
      </c>
      <c r="K84">
        <v>1796.5931138462356</v>
      </c>
      <c r="L84">
        <v>73.627847786821675</v>
      </c>
      <c r="M84">
        <v>1783.8050634054955</v>
      </c>
      <c r="N84">
        <v>73.103768837567955</v>
      </c>
      <c r="O84">
        <v>128</v>
      </c>
      <c r="P84">
        <v>41.7</v>
      </c>
      <c r="Q84">
        <v>100</v>
      </c>
      <c r="R84">
        <v>3</v>
      </c>
      <c r="S84" t="s">
        <v>40</v>
      </c>
      <c r="T84" t="s">
        <v>40</v>
      </c>
    </row>
    <row r="85" spans="1:28">
      <c r="A85" s="139">
        <v>44434</v>
      </c>
      <c r="B85">
        <v>22</v>
      </c>
      <c r="C85" t="s">
        <v>2094</v>
      </c>
      <c r="H85">
        <v>0.27400000000000002</v>
      </c>
      <c r="I85">
        <v>0.17604999999999998</v>
      </c>
      <c r="J85">
        <v>9.7950000000000037E-2</v>
      </c>
      <c r="O85">
        <v>128</v>
      </c>
      <c r="P85">
        <v>41.7</v>
      </c>
      <c r="Q85">
        <v>100</v>
      </c>
      <c r="R85">
        <v>3</v>
      </c>
      <c r="S85" t="s">
        <v>40</v>
      </c>
      <c r="T85" t="s">
        <v>40</v>
      </c>
    </row>
    <row r="86" spans="1:28">
      <c r="A86" s="139">
        <v>44434</v>
      </c>
      <c r="B86">
        <v>23</v>
      </c>
      <c r="C86" t="s">
        <v>2127</v>
      </c>
      <c r="D86">
        <v>3524.5</v>
      </c>
      <c r="H86">
        <v>310.18880000000001</v>
      </c>
      <c r="I86">
        <v>0.17604999999999998</v>
      </c>
      <c r="J86">
        <v>310.01275000000004</v>
      </c>
      <c r="K86">
        <v>2600.3790065740627</v>
      </c>
      <c r="L86">
        <v>73.78008246769933</v>
      </c>
      <c r="M86">
        <v>2583.6116692339724</v>
      </c>
      <c r="N86">
        <v>73.30434584292729</v>
      </c>
      <c r="O86">
        <v>128</v>
      </c>
      <c r="P86">
        <v>41.7</v>
      </c>
      <c r="Q86">
        <v>100</v>
      </c>
      <c r="R86">
        <v>3</v>
      </c>
      <c r="S86" t="s">
        <v>40</v>
      </c>
      <c r="T86" t="s">
        <v>40</v>
      </c>
    </row>
    <row r="87" spans="1:28">
      <c r="A87" s="139">
        <v>44434</v>
      </c>
      <c r="B87">
        <v>24</v>
      </c>
      <c r="C87" t="s">
        <v>2128</v>
      </c>
      <c r="D87">
        <v>2959.4</v>
      </c>
      <c r="H87">
        <v>238.70339999999999</v>
      </c>
      <c r="I87">
        <v>0.17604999999999998</v>
      </c>
      <c r="J87">
        <v>238.52734999999998</v>
      </c>
      <c r="K87">
        <v>2001.6636104101849</v>
      </c>
      <c r="L87">
        <v>67.637480922152633</v>
      </c>
      <c r="M87">
        <v>1987.8603215237304</v>
      </c>
      <c r="N87">
        <v>67.171059049933433</v>
      </c>
      <c r="O87">
        <v>128</v>
      </c>
      <c r="P87">
        <v>41.7</v>
      </c>
      <c r="Q87">
        <v>100</v>
      </c>
      <c r="R87">
        <v>3</v>
      </c>
      <c r="S87" t="s">
        <v>40</v>
      </c>
      <c r="T87" t="s">
        <v>40</v>
      </c>
    </row>
    <row r="88" spans="1:28">
      <c r="A88" s="139">
        <v>44434</v>
      </c>
      <c r="B88">
        <v>25</v>
      </c>
      <c r="C88" t="s">
        <v>2129</v>
      </c>
      <c r="D88">
        <v>2694.3</v>
      </c>
      <c r="H88">
        <v>202.0598</v>
      </c>
      <c r="I88">
        <v>0.17604999999999998</v>
      </c>
      <c r="J88">
        <v>201.88374999999999</v>
      </c>
      <c r="K88">
        <v>1694.7605576068058</v>
      </c>
      <c r="L88">
        <v>62.901702023041452</v>
      </c>
      <c r="M88">
        <v>1682.4766475853455</v>
      </c>
      <c r="N88">
        <v>62.445779890336837</v>
      </c>
      <c r="O88">
        <v>128</v>
      </c>
      <c r="P88">
        <v>41.7</v>
      </c>
      <c r="Q88">
        <v>100</v>
      </c>
      <c r="R88">
        <v>3</v>
      </c>
      <c r="S88" t="s">
        <v>40</v>
      </c>
      <c r="T88" t="s">
        <v>40</v>
      </c>
    </row>
    <row r="89" spans="1:28">
      <c r="A89" s="139">
        <v>44434</v>
      </c>
      <c r="B89">
        <v>26</v>
      </c>
      <c r="C89" t="s">
        <v>2130</v>
      </c>
      <c r="D89">
        <v>3153.5</v>
      </c>
      <c r="H89">
        <v>244.0044</v>
      </c>
      <c r="I89">
        <v>0.17604999999999998</v>
      </c>
      <c r="J89">
        <v>243.82835</v>
      </c>
      <c r="K89">
        <v>2046.0613519778997</v>
      </c>
      <c r="L89">
        <v>64.882237259486274</v>
      </c>
      <c r="M89">
        <v>2032.038264071607</v>
      </c>
      <c r="N89">
        <v>64.437553958192709</v>
      </c>
      <c r="O89">
        <v>128</v>
      </c>
      <c r="P89">
        <v>41.7</v>
      </c>
      <c r="Q89">
        <v>100</v>
      </c>
      <c r="R89">
        <v>3</v>
      </c>
      <c r="S89" t="s">
        <v>40</v>
      </c>
      <c r="T89" t="s">
        <v>40</v>
      </c>
    </row>
    <row r="90" spans="1:28">
      <c r="A90" s="139">
        <v>44434</v>
      </c>
      <c r="B90">
        <v>27</v>
      </c>
      <c r="C90" t="s">
        <v>2131</v>
      </c>
      <c r="D90">
        <v>3094.9</v>
      </c>
      <c r="H90">
        <v>250.29750000000001</v>
      </c>
      <c r="I90">
        <v>0.17604999999999998</v>
      </c>
      <c r="J90">
        <v>250.12145000000001</v>
      </c>
      <c r="K90">
        <v>2098.7682803800476</v>
      </c>
      <c r="L90">
        <v>67.813767177616327</v>
      </c>
      <c r="M90">
        <v>2084.4842573272276</v>
      </c>
      <c r="N90">
        <v>67.352232942170261</v>
      </c>
      <c r="O90">
        <v>128</v>
      </c>
      <c r="P90">
        <v>41.7</v>
      </c>
      <c r="Q90">
        <v>100</v>
      </c>
      <c r="R90">
        <v>3</v>
      </c>
      <c r="S90" t="s">
        <v>40</v>
      </c>
      <c r="T90" t="s">
        <v>40</v>
      </c>
    </row>
    <row r="91" spans="1:28">
      <c r="A91" s="139">
        <v>44434</v>
      </c>
      <c r="B91">
        <v>28</v>
      </c>
      <c r="C91" t="s">
        <v>2132</v>
      </c>
      <c r="D91">
        <v>2775.8</v>
      </c>
      <c r="H91">
        <v>227.69220000000001</v>
      </c>
      <c r="I91">
        <v>0.17604999999999998</v>
      </c>
      <c r="J91">
        <v>227.51615000000001</v>
      </c>
      <c r="K91">
        <v>1909.4409331888266</v>
      </c>
      <c r="L91">
        <v>68.788851256892656</v>
      </c>
      <c r="M91">
        <v>1896.0942092839302</v>
      </c>
      <c r="N91">
        <v>68.308026849338219</v>
      </c>
      <c r="O91">
        <v>128</v>
      </c>
      <c r="P91">
        <v>41.7</v>
      </c>
      <c r="Q91">
        <v>100</v>
      </c>
      <c r="R91">
        <v>3</v>
      </c>
      <c r="S91" t="s">
        <v>40</v>
      </c>
      <c r="T91" t="s">
        <v>40</v>
      </c>
    </row>
    <row r="92" spans="1:28">
      <c r="A92" s="139">
        <v>44434</v>
      </c>
      <c r="B92">
        <v>29</v>
      </c>
      <c r="C92" t="s">
        <v>2133</v>
      </c>
      <c r="D92">
        <v>3279.2</v>
      </c>
      <c r="H92">
        <v>279.41199999999998</v>
      </c>
      <c r="I92">
        <v>0.17604999999999998</v>
      </c>
      <c r="J92">
        <v>279.23595</v>
      </c>
      <c r="K92">
        <v>2342.6124695657168</v>
      </c>
      <c r="L92">
        <v>71.438535910152382</v>
      </c>
      <c r="M92">
        <v>2327.1212519150708</v>
      </c>
      <c r="N92">
        <v>70.966127467524728</v>
      </c>
      <c r="O92">
        <v>128</v>
      </c>
      <c r="P92">
        <v>41.7</v>
      </c>
      <c r="Q92">
        <v>100</v>
      </c>
      <c r="R92">
        <v>3</v>
      </c>
      <c r="S92" t="s">
        <v>40</v>
      </c>
      <c r="T92" t="s">
        <v>40</v>
      </c>
    </row>
    <row r="93" spans="1:28">
      <c r="A93" s="139">
        <v>44434</v>
      </c>
      <c r="B93">
        <v>30</v>
      </c>
      <c r="C93" t="s">
        <v>2102</v>
      </c>
      <c r="H93">
        <v>0.4667</v>
      </c>
      <c r="I93">
        <v>0.17604999999999998</v>
      </c>
      <c r="J93">
        <v>0.29065000000000002</v>
      </c>
      <c r="O93">
        <v>128</v>
      </c>
      <c r="P93">
        <v>41.7</v>
      </c>
      <c r="Q93">
        <v>100</v>
      </c>
      <c r="R93">
        <v>3</v>
      </c>
      <c r="S93" t="s">
        <v>40</v>
      </c>
      <c r="T93" t="s">
        <v>40</v>
      </c>
    </row>
    <row r="94" spans="1:28">
      <c r="A94" s="139">
        <v>44434</v>
      </c>
      <c r="B94">
        <v>31</v>
      </c>
      <c r="C94" t="s">
        <v>2103</v>
      </c>
      <c r="D94">
        <v>2329.1</v>
      </c>
      <c r="G94">
        <v>2328.63418</v>
      </c>
      <c r="H94">
        <v>277.74380000000002</v>
      </c>
      <c r="I94">
        <v>0.17604999999999998</v>
      </c>
      <c r="J94">
        <v>277.56775000000005</v>
      </c>
      <c r="K94">
        <v>2328.6407071655544</v>
      </c>
      <c r="L94">
        <v>100.00028030016954</v>
      </c>
      <c r="M94">
        <v>2313.2186592422986</v>
      </c>
      <c r="N94">
        <v>99.3380016109829</v>
      </c>
      <c r="O94">
        <v>128</v>
      </c>
      <c r="P94">
        <v>41.7</v>
      </c>
      <c r="Q94">
        <v>100</v>
      </c>
      <c r="R94">
        <v>3</v>
      </c>
      <c r="S94" t="s">
        <v>40</v>
      </c>
      <c r="T94" t="s">
        <v>40</v>
      </c>
      <c r="X94" s="367"/>
      <c r="Y94" s="367"/>
      <c r="Z94" s="367"/>
      <c r="AA94" s="367"/>
      <c r="AB94" s="367"/>
    </row>
    <row r="95" spans="1:28">
      <c r="A95" s="139">
        <v>44434</v>
      </c>
      <c r="B95">
        <v>32</v>
      </c>
      <c r="C95" t="s">
        <v>2104</v>
      </c>
      <c r="H95">
        <v>0.28179999999999999</v>
      </c>
      <c r="I95">
        <v>0.17604999999999998</v>
      </c>
      <c r="J95">
        <v>0.10575000000000001</v>
      </c>
      <c r="O95">
        <v>128</v>
      </c>
      <c r="P95">
        <v>41.7</v>
      </c>
      <c r="Q95">
        <v>100</v>
      </c>
      <c r="R95">
        <v>3</v>
      </c>
      <c r="S95" t="s">
        <v>40</v>
      </c>
      <c r="T95" t="s">
        <v>40</v>
      </c>
    </row>
    <row r="100" spans="1:28">
      <c r="A100" t="s">
        <v>2067</v>
      </c>
      <c r="X100" s="367"/>
      <c r="Y100" s="367"/>
      <c r="Z100" s="367"/>
      <c r="AA100" s="367"/>
      <c r="AB100" s="367"/>
    </row>
    <row r="101" spans="1:28">
      <c r="A101" t="s">
        <v>2114</v>
      </c>
    </row>
    <row r="102" spans="1:28">
      <c r="A102" t="s">
        <v>2134</v>
      </c>
    </row>
    <row r="103" spans="1:28">
      <c r="A103" s="139">
        <v>44438</v>
      </c>
      <c r="B103">
        <v>1</v>
      </c>
      <c r="C103" t="s">
        <v>2073</v>
      </c>
      <c r="H103">
        <v>0.92100000000000004</v>
      </c>
    </row>
    <row r="104" spans="1:28">
      <c r="A104" s="139">
        <v>44438</v>
      </c>
      <c r="B104">
        <v>2</v>
      </c>
      <c r="C104" t="s">
        <v>2074</v>
      </c>
      <c r="H104">
        <v>0.82830000000000004</v>
      </c>
    </row>
    <row r="105" spans="1:28">
      <c r="A105" s="139">
        <v>44438</v>
      </c>
      <c r="B105">
        <v>3</v>
      </c>
      <c r="C105" t="s">
        <v>2075</v>
      </c>
      <c r="G105">
        <v>0</v>
      </c>
      <c r="H105">
        <v>0.36209999999999998</v>
      </c>
      <c r="I105">
        <v>0.65189999999999981</v>
      </c>
      <c r="J105">
        <v>0.65189999999999981</v>
      </c>
    </row>
    <row r="106" spans="1:28">
      <c r="A106" s="139">
        <v>44438</v>
      </c>
      <c r="B106">
        <v>4</v>
      </c>
      <c r="C106" t="s">
        <v>2135</v>
      </c>
      <c r="D106">
        <v>383.6</v>
      </c>
      <c r="G106">
        <v>383.52328000000006</v>
      </c>
      <c r="H106">
        <v>44.127499999999998</v>
      </c>
      <c r="I106">
        <v>0.65189999999999981</v>
      </c>
      <c r="J106">
        <v>43.4756</v>
      </c>
      <c r="K106">
        <v>369.73801199228615</v>
      </c>
      <c r="L106">
        <v>96.405624188520207</v>
      </c>
      <c r="M106">
        <v>362.3207996669442</v>
      </c>
      <c r="N106">
        <v>94.471657539783294</v>
      </c>
      <c r="O106">
        <v>128</v>
      </c>
      <c r="P106">
        <v>41.7</v>
      </c>
      <c r="Q106">
        <v>100</v>
      </c>
      <c r="R106">
        <v>3</v>
      </c>
      <c r="S106" t="s">
        <v>40</v>
      </c>
      <c r="T106" t="s">
        <v>40</v>
      </c>
      <c r="X106" s="366">
        <f>A103</f>
        <v>44438</v>
      </c>
    </row>
    <row r="107" spans="1:28">
      <c r="A107" s="139">
        <v>44438</v>
      </c>
      <c r="B107">
        <v>5</v>
      </c>
      <c r="C107" t="s">
        <v>2136</v>
      </c>
      <c r="D107">
        <v>1121</v>
      </c>
      <c r="G107">
        <v>1120.7758000000001</v>
      </c>
      <c r="H107">
        <v>132.65729999999999</v>
      </c>
      <c r="I107">
        <v>0.65189999999999981</v>
      </c>
      <c r="J107">
        <v>132.00539999999998</v>
      </c>
      <c r="K107">
        <v>1117.5153643203714</v>
      </c>
      <c r="L107">
        <v>99.709091177769125</v>
      </c>
      <c r="M107">
        <v>1100.1182752706077</v>
      </c>
      <c r="N107">
        <v>98.156854856306467</v>
      </c>
      <c r="O107">
        <v>128</v>
      </c>
      <c r="P107">
        <v>41.7</v>
      </c>
      <c r="Q107">
        <v>100</v>
      </c>
      <c r="R107">
        <v>3</v>
      </c>
      <c r="S107" t="s">
        <v>40</v>
      </c>
      <c r="T107" t="s">
        <v>40</v>
      </c>
      <c r="X107" s="125">
        <f>((J105-INDEX(LINEST($J$105:$J$110,$G$105:$G$110),2))/INDEX(LINEST($J$105:$J$110,$G$105:$G$110),1)/100.09)*12.01</f>
        <v>0.96264798222757142</v>
      </c>
      <c r="Y107" s="125">
        <f>(J105-X107)^2</f>
        <v>9.6564308458507164E-2</v>
      </c>
    </row>
    <row r="108" spans="1:28">
      <c r="A108" s="139">
        <v>44438</v>
      </c>
      <c r="B108">
        <v>6</v>
      </c>
      <c r="C108" t="s">
        <v>2137</v>
      </c>
      <c r="D108">
        <v>1978</v>
      </c>
      <c r="G108">
        <v>1977.6043999999999</v>
      </c>
      <c r="H108">
        <v>235.2936</v>
      </c>
      <c r="I108">
        <v>0.65189999999999981</v>
      </c>
      <c r="J108">
        <v>234.64169999999999</v>
      </c>
      <c r="K108">
        <v>1984.4449255161617</v>
      </c>
      <c r="L108">
        <v>100.34589959023967</v>
      </c>
      <c r="M108">
        <v>1955.4777479600334</v>
      </c>
      <c r="N108">
        <v>98.881138611950561</v>
      </c>
      <c r="O108">
        <v>128</v>
      </c>
      <c r="P108">
        <v>41.7</v>
      </c>
      <c r="Q108">
        <v>100</v>
      </c>
      <c r="R108">
        <v>3</v>
      </c>
      <c r="S108" t="s">
        <v>40</v>
      </c>
      <c r="T108" t="s">
        <v>40</v>
      </c>
      <c r="X108" s="125">
        <f t="shared" ref="X108:X111" si="14">((J106-INDEX(LINEST($J$105:$J$110,$G$105:$G$110),2))/INDEX(LINEST($J$105:$J$110,$G$105:$G$110),1)/100.09)*12.01</f>
        <v>44.365606194698337</v>
      </c>
      <c r="Y108" s="125">
        <f t="shared" ref="Y108:Y111" si="15">(J106-X108)^2</f>
        <v>0.7921110266014143</v>
      </c>
    </row>
    <row r="109" spans="1:28">
      <c r="A109" s="139">
        <v>44438</v>
      </c>
      <c r="B109">
        <v>7</v>
      </c>
      <c r="C109" t="s">
        <v>2138</v>
      </c>
      <c r="D109">
        <v>3258.1</v>
      </c>
      <c r="G109">
        <v>3257.4483799999998</v>
      </c>
      <c r="H109">
        <v>388.6103</v>
      </c>
      <c r="I109">
        <v>0.65189999999999981</v>
      </c>
      <c r="J109">
        <v>387.95839999999998</v>
      </c>
      <c r="K109">
        <v>3279.4524370397321</v>
      </c>
      <c r="L109">
        <v>100.67549979225556</v>
      </c>
      <c r="M109">
        <v>3233.2020196502917</v>
      </c>
      <c r="N109">
        <v>99.255664019157592</v>
      </c>
      <c r="O109">
        <v>128</v>
      </c>
      <c r="P109">
        <v>41.7</v>
      </c>
      <c r="Q109">
        <v>100</v>
      </c>
      <c r="R109">
        <v>3</v>
      </c>
      <c r="S109" t="s">
        <v>40</v>
      </c>
      <c r="T109" t="s">
        <v>40</v>
      </c>
      <c r="X109" s="125">
        <f t="shared" si="14"/>
        <v>134.09291163440562</v>
      </c>
      <c r="Y109" s="125">
        <f t="shared" si="15"/>
        <v>4.3577048237789215</v>
      </c>
    </row>
    <row r="110" spans="1:28">
      <c r="A110" s="139">
        <v>44438</v>
      </c>
      <c r="B110">
        <v>8</v>
      </c>
      <c r="C110" t="s">
        <v>2139</v>
      </c>
      <c r="D110">
        <v>3848.3</v>
      </c>
      <c r="G110">
        <v>3847.5303400000003</v>
      </c>
      <c r="H110">
        <v>453.51870000000002</v>
      </c>
      <c r="I110">
        <v>0.65189999999999981</v>
      </c>
      <c r="J110">
        <v>452.86680000000001</v>
      </c>
      <c r="K110">
        <v>3827.7088602537497</v>
      </c>
      <c r="L110">
        <v>99.484825901431336</v>
      </c>
      <c r="M110">
        <v>3774.1413831806835</v>
      </c>
      <c r="N110">
        <v>98.09256976985094</v>
      </c>
      <c r="O110">
        <v>128</v>
      </c>
      <c r="P110">
        <v>41.7</v>
      </c>
      <c r="Q110">
        <v>100</v>
      </c>
      <c r="R110">
        <v>3</v>
      </c>
      <c r="S110" t="s">
        <v>40</v>
      </c>
      <c r="T110" t="s">
        <v>40</v>
      </c>
      <c r="X110" s="125">
        <f t="shared" si="14"/>
        <v>238.11752977769109</v>
      </c>
      <c r="Y110" s="125">
        <f t="shared" si="15"/>
        <v>12.081392643484186</v>
      </c>
    </row>
    <row r="111" spans="1:28">
      <c r="A111" s="139">
        <v>44438</v>
      </c>
      <c r="B111">
        <v>9</v>
      </c>
      <c r="C111" t="s">
        <v>2082</v>
      </c>
      <c r="H111">
        <v>0.87829999999999997</v>
      </c>
      <c r="I111">
        <v>0.65189999999999981</v>
      </c>
      <c r="J111">
        <v>0.22640000000000016</v>
      </c>
      <c r="O111">
        <v>128</v>
      </c>
      <c r="P111">
        <v>41.7</v>
      </c>
      <c r="Q111">
        <v>100</v>
      </c>
      <c r="R111">
        <v>3</v>
      </c>
      <c r="S111" t="s">
        <v>40</v>
      </c>
      <c r="T111" t="s">
        <v>40</v>
      </c>
      <c r="X111" s="125">
        <f t="shared" si="14"/>
        <v>393.50808041609736</v>
      </c>
      <c r="Y111" s="125">
        <f t="shared" si="15"/>
        <v>30.798952720814722</v>
      </c>
    </row>
    <row r="112" spans="1:28" ht="15.75">
      <c r="A112" s="139">
        <v>44438</v>
      </c>
      <c r="B112">
        <v>10</v>
      </c>
      <c r="C112" t="s">
        <v>2083</v>
      </c>
      <c r="H112">
        <v>0.55230000000000001</v>
      </c>
      <c r="I112">
        <v>0.65189999999999981</v>
      </c>
      <c r="J112">
        <v>-9.95999999999998E-2</v>
      </c>
      <c r="O112">
        <v>128</v>
      </c>
      <c r="P112">
        <v>41.7</v>
      </c>
      <c r="Q112">
        <v>100</v>
      </c>
      <c r="R112">
        <v>3</v>
      </c>
      <c r="S112" t="s">
        <v>40</v>
      </c>
      <c r="T112" t="s">
        <v>40</v>
      </c>
      <c r="X112" s="125">
        <f>((J110-INDEX(LINEST($J$105:$J$110,$G$105:$G$110),2))/INDEX(LINEST($J$105:$J$110,$G$105:$G$110),1)/100.09)*12.01</f>
        <v>459.29446909429043</v>
      </c>
      <c r="Y112" s="125">
        <f>(J110-X112)^2</f>
        <v>41.31492998569626</v>
      </c>
      <c r="AA112" s="226" t="s">
        <v>2193</v>
      </c>
    </row>
    <row r="113" spans="1:27" ht="15.75">
      <c r="A113" s="139">
        <v>44438</v>
      </c>
      <c r="B113">
        <v>11</v>
      </c>
      <c r="C113" t="s">
        <v>2084</v>
      </c>
      <c r="D113">
        <v>1136.7</v>
      </c>
      <c r="H113">
        <v>16.048999999999999</v>
      </c>
      <c r="I113">
        <v>0.65189999999999981</v>
      </c>
      <c r="J113">
        <v>15.3971</v>
      </c>
      <c r="K113">
        <v>132.569664302083</v>
      </c>
      <c r="L113">
        <v>11.662678305804786</v>
      </c>
      <c r="M113">
        <v>128.31771348875938</v>
      </c>
      <c r="N113">
        <v>11.288617356273368</v>
      </c>
      <c r="O113">
        <v>128</v>
      </c>
      <c r="P113">
        <v>41.7</v>
      </c>
      <c r="Q113">
        <v>100</v>
      </c>
      <c r="R113">
        <v>3</v>
      </c>
      <c r="S113" t="s">
        <v>40</v>
      </c>
      <c r="T113" t="s">
        <v>40</v>
      </c>
      <c r="Y113" s="225">
        <f>SQRT(SUM(Y107:Y112)/(6-2))</f>
        <v>4.7286799296641444</v>
      </c>
      <c r="Z113" s="226" t="s">
        <v>2194</v>
      </c>
      <c r="AA113" s="225">
        <f>(Y113/$AK$15)*100</f>
        <v>2.0226350352725584</v>
      </c>
    </row>
    <row r="114" spans="1:27" ht="15.75">
      <c r="A114" s="139">
        <v>44438</v>
      </c>
      <c r="B114">
        <v>12</v>
      </c>
      <c r="C114" t="s">
        <v>2084</v>
      </c>
      <c r="D114">
        <v>2532.8000000000002</v>
      </c>
      <c r="H114">
        <v>38.089100000000002</v>
      </c>
      <c r="I114">
        <v>0.65189999999999981</v>
      </c>
      <c r="J114">
        <v>37.437200000000004</v>
      </c>
      <c r="K114">
        <v>318.73395726384547</v>
      </c>
      <c r="L114">
        <v>12.584252892602867</v>
      </c>
      <c r="M114">
        <v>311.99744779350544</v>
      </c>
      <c r="N114">
        <v>12.318282051228104</v>
      </c>
      <c r="O114">
        <v>128</v>
      </c>
      <c r="P114">
        <v>41.7</v>
      </c>
      <c r="Q114">
        <v>100</v>
      </c>
      <c r="R114">
        <v>3</v>
      </c>
      <c r="S114" t="s">
        <v>40</v>
      </c>
      <c r="T114" t="s">
        <v>40</v>
      </c>
      <c r="Y114" s="225">
        <f>(Y113/12.01)*100.09</f>
        <v>39.408290937559059</v>
      </c>
      <c r="Z114" s="226" t="s">
        <v>2195</v>
      </c>
    </row>
    <row r="115" spans="1:27">
      <c r="A115" s="139">
        <v>44438</v>
      </c>
      <c r="B115">
        <v>13</v>
      </c>
      <c r="C115" t="s">
        <v>2085</v>
      </c>
      <c r="H115">
        <v>0.68079999999999996</v>
      </c>
      <c r="I115">
        <v>0.65189999999999981</v>
      </c>
      <c r="J115">
        <v>2.8900000000000148E-2</v>
      </c>
      <c r="O115">
        <v>128</v>
      </c>
      <c r="P115">
        <v>41.7</v>
      </c>
      <c r="Q115">
        <v>100</v>
      </c>
      <c r="R115">
        <v>3</v>
      </c>
      <c r="S115" t="s">
        <v>40</v>
      </c>
      <c r="T115" t="s">
        <v>40</v>
      </c>
    </row>
    <row r="116" spans="1:27">
      <c r="A116" s="139">
        <v>44438</v>
      </c>
      <c r="B116">
        <v>14</v>
      </c>
      <c r="C116" t="s">
        <v>2086</v>
      </c>
      <c r="H116">
        <v>0.3221</v>
      </c>
      <c r="I116">
        <v>0.65189999999999981</v>
      </c>
      <c r="J116">
        <v>-0.32979999999999982</v>
      </c>
      <c r="O116">
        <v>128</v>
      </c>
      <c r="P116">
        <v>41.7</v>
      </c>
      <c r="Q116">
        <v>100</v>
      </c>
      <c r="R116">
        <v>3</v>
      </c>
      <c r="S116" t="s">
        <v>40</v>
      </c>
      <c r="T116" t="s">
        <v>40</v>
      </c>
    </row>
    <row r="117" spans="1:27">
      <c r="A117" s="139">
        <v>44438</v>
      </c>
      <c r="B117">
        <v>15</v>
      </c>
      <c r="C117" t="s">
        <v>2140</v>
      </c>
      <c r="D117">
        <v>2658.3</v>
      </c>
      <c r="H117">
        <v>225.96870000000001</v>
      </c>
      <c r="I117">
        <v>0.65189999999999981</v>
      </c>
      <c r="J117">
        <v>225.3168</v>
      </c>
      <c r="K117">
        <v>1905.6810625827297</v>
      </c>
      <c r="L117">
        <v>71.687960823937473</v>
      </c>
      <c r="M117">
        <v>1877.7650717735221</v>
      </c>
      <c r="N117">
        <v>70.637816340274682</v>
      </c>
      <c r="O117">
        <v>128</v>
      </c>
      <c r="P117">
        <v>41.7</v>
      </c>
      <c r="Q117">
        <v>100</v>
      </c>
      <c r="R117">
        <v>3</v>
      </c>
      <c r="S117" t="s">
        <v>40</v>
      </c>
      <c r="T117" t="s">
        <v>40</v>
      </c>
    </row>
    <row r="118" spans="1:27">
      <c r="A118" s="139">
        <v>44438</v>
      </c>
      <c r="B118">
        <v>16</v>
      </c>
      <c r="C118" t="s">
        <v>2141</v>
      </c>
      <c r="D118">
        <v>3147.1</v>
      </c>
      <c r="H118">
        <v>261.03300000000002</v>
      </c>
      <c r="I118">
        <v>0.65189999999999981</v>
      </c>
      <c r="J118">
        <v>260.3811</v>
      </c>
      <c r="K118">
        <v>2201.8557903606948</v>
      </c>
      <c r="L118">
        <v>69.964595670957223</v>
      </c>
      <c r="M118">
        <v>2169.9870357202331</v>
      </c>
      <c r="N118">
        <v>68.951956903823614</v>
      </c>
      <c r="O118">
        <v>128</v>
      </c>
      <c r="P118">
        <v>41.7</v>
      </c>
      <c r="Q118">
        <v>100</v>
      </c>
      <c r="R118">
        <v>3</v>
      </c>
      <c r="S118" t="s">
        <v>40</v>
      </c>
      <c r="T118" t="s">
        <v>40</v>
      </c>
    </row>
    <row r="119" spans="1:27">
      <c r="A119" s="139">
        <v>44438</v>
      </c>
      <c r="B119">
        <v>17</v>
      </c>
      <c r="C119" t="s">
        <v>2142</v>
      </c>
      <c r="D119">
        <v>2473.1999999999998</v>
      </c>
      <c r="H119">
        <v>199.74019999999999</v>
      </c>
      <c r="I119">
        <v>0.65189999999999981</v>
      </c>
      <c r="J119">
        <v>199.08829999999998</v>
      </c>
      <c r="K119">
        <v>1684.1389571500142</v>
      </c>
      <c r="L119">
        <v>68.095542501617928</v>
      </c>
      <c r="M119">
        <v>1659.1796791840134</v>
      </c>
      <c r="N119">
        <v>67.086352870128323</v>
      </c>
      <c r="O119">
        <v>128</v>
      </c>
      <c r="P119">
        <v>41.7</v>
      </c>
      <c r="Q119">
        <v>100</v>
      </c>
      <c r="R119">
        <v>3</v>
      </c>
      <c r="S119" t="s">
        <v>40</v>
      </c>
      <c r="T119" t="s">
        <v>40</v>
      </c>
    </row>
    <row r="120" spans="1:27">
      <c r="A120" s="139">
        <v>44438</v>
      </c>
      <c r="B120">
        <v>18</v>
      </c>
      <c r="C120" t="s">
        <v>2143</v>
      </c>
      <c r="D120">
        <v>2691.1</v>
      </c>
      <c r="H120">
        <v>209.1225</v>
      </c>
      <c r="I120">
        <v>0.65189999999999981</v>
      </c>
      <c r="J120">
        <v>208.47059999999999</v>
      </c>
      <c r="K120">
        <v>1763.3876559243006</v>
      </c>
      <c r="L120">
        <v>65.52664917410354</v>
      </c>
      <c r="M120">
        <v>1737.3707205661949</v>
      </c>
      <c r="N120">
        <v>64.559872192270632</v>
      </c>
      <c r="O120">
        <v>128</v>
      </c>
      <c r="P120">
        <v>41.7</v>
      </c>
      <c r="Q120">
        <v>100</v>
      </c>
      <c r="R120">
        <v>3</v>
      </c>
      <c r="S120" t="s">
        <v>40</v>
      </c>
      <c r="T120" t="s">
        <v>40</v>
      </c>
    </row>
    <row r="121" spans="1:27">
      <c r="A121" s="139">
        <v>44438</v>
      </c>
      <c r="B121">
        <v>19</v>
      </c>
      <c r="C121" t="s">
        <v>2144</v>
      </c>
      <c r="D121">
        <v>2757.1</v>
      </c>
      <c r="H121">
        <v>172.92789999999999</v>
      </c>
      <c r="I121">
        <v>0.65189999999999981</v>
      </c>
      <c r="J121">
        <v>172.27599999999998</v>
      </c>
      <c r="K121">
        <v>1457.6657164578821</v>
      </c>
      <c r="L121">
        <v>52.869526548107871</v>
      </c>
      <c r="M121">
        <v>1435.7289625312239</v>
      </c>
      <c r="N121">
        <v>52.073880618447788</v>
      </c>
      <c r="O121">
        <v>128</v>
      </c>
      <c r="P121">
        <v>41.7</v>
      </c>
      <c r="Q121">
        <v>100</v>
      </c>
      <c r="R121">
        <v>3</v>
      </c>
      <c r="S121" t="s">
        <v>40</v>
      </c>
      <c r="T121" t="s">
        <v>40</v>
      </c>
    </row>
    <row r="122" spans="1:27">
      <c r="A122" s="139">
        <v>44438</v>
      </c>
      <c r="B122">
        <v>20</v>
      </c>
      <c r="C122" t="s">
        <v>2145</v>
      </c>
      <c r="D122">
        <v>2682.4</v>
      </c>
      <c r="H122">
        <v>197.08680000000001</v>
      </c>
      <c r="I122">
        <v>0.65189999999999981</v>
      </c>
      <c r="J122">
        <v>196.4349</v>
      </c>
      <c r="K122">
        <v>1661.7267024440584</v>
      </c>
      <c r="L122">
        <v>61.949250762155472</v>
      </c>
      <c r="M122">
        <v>1637.0665396336387</v>
      </c>
      <c r="N122">
        <v>61.029918715838008</v>
      </c>
      <c r="O122">
        <v>128</v>
      </c>
      <c r="P122">
        <v>41.7</v>
      </c>
      <c r="Q122">
        <v>100</v>
      </c>
      <c r="R122">
        <v>3</v>
      </c>
      <c r="S122" t="s">
        <v>40</v>
      </c>
      <c r="T122" t="s">
        <v>40</v>
      </c>
    </row>
    <row r="123" spans="1:27">
      <c r="A123" s="139">
        <v>44438</v>
      </c>
      <c r="B123">
        <v>21</v>
      </c>
      <c r="C123" t="s">
        <v>2146</v>
      </c>
      <c r="D123">
        <v>2825.7</v>
      </c>
      <c r="H123">
        <v>194.7825</v>
      </c>
      <c r="I123">
        <v>0.65189999999999981</v>
      </c>
      <c r="J123">
        <v>194.13059999999999</v>
      </c>
      <c r="K123">
        <v>1642.2631618851776</v>
      </c>
      <c r="L123">
        <v>58.118808149668325</v>
      </c>
      <c r="M123">
        <v>1617.8627605328893</v>
      </c>
      <c r="N123">
        <v>57.255291097175544</v>
      </c>
      <c r="O123">
        <v>128</v>
      </c>
      <c r="P123">
        <v>41.7</v>
      </c>
      <c r="Q123">
        <v>100</v>
      </c>
      <c r="R123">
        <v>3</v>
      </c>
      <c r="S123" t="s">
        <v>40</v>
      </c>
      <c r="T123" t="s">
        <v>40</v>
      </c>
    </row>
    <row r="124" spans="1:27">
      <c r="A124" s="139">
        <v>44438</v>
      </c>
      <c r="B124">
        <v>22</v>
      </c>
      <c r="C124" t="s">
        <v>2094</v>
      </c>
      <c r="H124">
        <v>0.65600000000000003</v>
      </c>
      <c r="I124">
        <v>0.65189999999999981</v>
      </c>
      <c r="J124">
        <v>4.1000000000002146E-3</v>
      </c>
      <c r="O124">
        <v>128</v>
      </c>
      <c r="P124">
        <v>41.7</v>
      </c>
      <c r="Q124">
        <v>100</v>
      </c>
      <c r="R124">
        <v>3</v>
      </c>
      <c r="S124" t="s">
        <v>40</v>
      </c>
      <c r="T124" t="s">
        <v>40</v>
      </c>
    </row>
    <row r="125" spans="1:27">
      <c r="A125" s="139">
        <v>44438</v>
      </c>
      <c r="B125">
        <v>23</v>
      </c>
      <c r="C125" t="s">
        <v>2147</v>
      </c>
      <c r="D125">
        <v>2887.9</v>
      </c>
      <c r="H125">
        <v>183.56290000000001</v>
      </c>
      <c r="I125">
        <v>0.65189999999999981</v>
      </c>
      <c r="J125">
        <v>182.911</v>
      </c>
      <c r="K125">
        <v>1547.4954928948468</v>
      </c>
      <c r="L125">
        <v>53.585494404059929</v>
      </c>
      <c r="M125">
        <v>1524.3598659450461</v>
      </c>
      <c r="N125">
        <v>52.784371548358536</v>
      </c>
      <c r="O125">
        <v>128</v>
      </c>
      <c r="P125">
        <v>41.7</v>
      </c>
      <c r="Q125">
        <v>100</v>
      </c>
      <c r="R125">
        <v>3</v>
      </c>
      <c r="S125" t="s">
        <v>40</v>
      </c>
      <c r="T125" t="s">
        <v>40</v>
      </c>
    </row>
    <row r="126" spans="1:27">
      <c r="A126" s="139">
        <v>44438</v>
      </c>
      <c r="B126">
        <v>24</v>
      </c>
      <c r="C126" t="s">
        <v>2148</v>
      </c>
      <c r="D126">
        <v>3015.8</v>
      </c>
      <c r="H126">
        <v>260.08089999999999</v>
      </c>
      <c r="I126">
        <v>0.65189999999999981</v>
      </c>
      <c r="J126">
        <v>259.42899999999997</v>
      </c>
      <c r="K126">
        <v>2193.8137658994219</v>
      </c>
      <c r="L126">
        <v>72.744007092626234</v>
      </c>
      <c r="M126">
        <v>2162.0523405495419</v>
      </c>
      <c r="N126">
        <v>71.690839596443453</v>
      </c>
      <c r="O126">
        <v>128</v>
      </c>
      <c r="P126">
        <v>41.7</v>
      </c>
      <c r="Q126">
        <v>100</v>
      </c>
      <c r="R126">
        <v>3</v>
      </c>
      <c r="S126" t="s">
        <v>40</v>
      </c>
      <c r="T126" t="s">
        <v>40</v>
      </c>
    </row>
    <row r="127" spans="1:27">
      <c r="A127" s="139">
        <v>44438</v>
      </c>
      <c r="B127">
        <v>25</v>
      </c>
      <c r="C127" t="s">
        <v>2149</v>
      </c>
      <c r="D127">
        <v>2775.7</v>
      </c>
      <c r="H127">
        <v>238.7039</v>
      </c>
      <c r="I127">
        <v>0.65189999999999981</v>
      </c>
      <c r="J127">
        <v>238.05199999999999</v>
      </c>
      <c r="K127">
        <v>2013.2504249597896</v>
      </c>
      <c r="L127">
        <v>72.531268687530698</v>
      </c>
      <c r="M127">
        <v>1983.8988076602832</v>
      </c>
      <c r="N127">
        <v>71.473819492750778</v>
      </c>
      <c r="O127">
        <v>128</v>
      </c>
      <c r="P127">
        <v>41.7</v>
      </c>
      <c r="Q127">
        <v>100</v>
      </c>
      <c r="R127">
        <v>3</v>
      </c>
      <c r="S127" t="s">
        <v>40</v>
      </c>
      <c r="T127" t="s">
        <v>40</v>
      </c>
    </row>
    <row r="128" spans="1:27">
      <c r="A128" s="139">
        <v>44438</v>
      </c>
      <c r="B128">
        <v>26</v>
      </c>
      <c r="C128" t="s">
        <v>2150</v>
      </c>
      <c r="D128">
        <v>3109.2</v>
      </c>
      <c r="H128">
        <v>261.9051</v>
      </c>
      <c r="I128">
        <v>0.65189999999999981</v>
      </c>
      <c r="J128">
        <v>261.25319999999999</v>
      </c>
      <c r="K128">
        <v>2209.222085427049</v>
      </c>
      <c r="L128">
        <v>71.054357565516824</v>
      </c>
      <c r="M128">
        <v>2177.2550198168192</v>
      </c>
      <c r="N128">
        <v>70.026213167915202</v>
      </c>
      <c r="O128">
        <v>128</v>
      </c>
      <c r="P128">
        <v>41.7</v>
      </c>
      <c r="Q128">
        <v>100</v>
      </c>
      <c r="R128">
        <v>3</v>
      </c>
      <c r="S128" t="s">
        <v>40</v>
      </c>
      <c r="T128" t="s">
        <v>40</v>
      </c>
    </row>
    <row r="129" spans="1:25">
      <c r="A129" s="139">
        <v>44438</v>
      </c>
      <c r="B129">
        <v>27</v>
      </c>
      <c r="C129" t="s">
        <v>2151</v>
      </c>
      <c r="D129">
        <v>3044.1</v>
      </c>
      <c r="H129">
        <v>263.80939999999998</v>
      </c>
      <c r="I129">
        <v>0.65189999999999981</v>
      </c>
      <c r="J129">
        <v>263.15749999999997</v>
      </c>
      <c r="K129">
        <v>2225.3069790113377</v>
      </c>
      <c r="L129">
        <v>73.102295555709006</v>
      </c>
      <c r="M129">
        <v>2193.1252435470442</v>
      </c>
      <c r="N129">
        <v>72.045111643738522</v>
      </c>
      <c r="O129">
        <v>128</v>
      </c>
      <c r="P129">
        <v>41.7</v>
      </c>
      <c r="Q129">
        <v>100</v>
      </c>
      <c r="R129">
        <v>3</v>
      </c>
      <c r="S129" t="s">
        <v>40</v>
      </c>
      <c r="T129" t="s">
        <v>40</v>
      </c>
    </row>
    <row r="130" spans="1:25">
      <c r="A130" s="139">
        <v>44438</v>
      </c>
      <c r="B130">
        <v>28</v>
      </c>
      <c r="C130" t="s">
        <v>2152</v>
      </c>
      <c r="D130">
        <v>2393.1999999999998</v>
      </c>
      <c r="H130">
        <v>200.94990000000001</v>
      </c>
      <c r="I130">
        <v>0.65189999999999981</v>
      </c>
      <c r="J130">
        <v>200.298</v>
      </c>
      <c r="K130">
        <v>1694.3568302629244</v>
      </c>
      <c r="L130">
        <v>70.798797854877336</v>
      </c>
      <c r="M130">
        <v>1669.2611840133225</v>
      </c>
      <c r="N130">
        <v>69.750174829237949</v>
      </c>
      <c r="O130">
        <v>128</v>
      </c>
      <c r="P130">
        <v>41.7</v>
      </c>
      <c r="Q130">
        <v>100</v>
      </c>
      <c r="R130">
        <v>3</v>
      </c>
      <c r="S130" t="s">
        <v>40</v>
      </c>
      <c r="T130" t="s">
        <v>40</v>
      </c>
    </row>
    <row r="131" spans="1:25">
      <c r="A131" s="139">
        <v>44438</v>
      </c>
      <c r="B131">
        <v>29</v>
      </c>
      <c r="C131" t="s">
        <v>2153</v>
      </c>
      <c r="D131">
        <v>2581.3000000000002</v>
      </c>
      <c r="H131">
        <v>195.2671</v>
      </c>
      <c r="I131">
        <v>0.65189999999999981</v>
      </c>
      <c r="J131">
        <v>194.61519999999999</v>
      </c>
      <c r="K131">
        <v>1646.3563926948959</v>
      </c>
      <c r="L131">
        <v>63.780126009952184</v>
      </c>
      <c r="M131">
        <v>1621.9013628642799</v>
      </c>
      <c r="N131">
        <v>62.832734004737141</v>
      </c>
      <c r="O131">
        <v>128</v>
      </c>
      <c r="P131">
        <v>41.7</v>
      </c>
      <c r="Q131">
        <v>100</v>
      </c>
      <c r="R131">
        <v>3</v>
      </c>
      <c r="S131" t="s">
        <v>40</v>
      </c>
      <c r="T131" t="s">
        <v>40</v>
      </c>
    </row>
    <row r="132" spans="1:25">
      <c r="A132" s="139">
        <v>44438</v>
      </c>
      <c r="B132">
        <v>30</v>
      </c>
      <c r="C132" t="s">
        <v>2102</v>
      </c>
      <c r="H132">
        <v>0.59160000000000001</v>
      </c>
      <c r="I132">
        <v>0.65189999999999981</v>
      </c>
      <c r="J132">
        <v>-6.0299999999999798E-2</v>
      </c>
      <c r="O132">
        <v>128</v>
      </c>
      <c r="P132">
        <v>41.7</v>
      </c>
      <c r="Q132">
        <v>100</v>
      </c>
      <c r="R132">
        <v>3</v>
      </c>
      <c r="S132" t="s">
        <v>40</v>
      </c>
      <c r="T132" t="s">
        <v>40</v>
      </c>
    </row>
    <row r="133" spans="1:25">
      <c r="A133" s="139">
        <v>44438</v>
      </c>
      <c r="B133">
        <v>31</v>
      </c>
      <c r="C133" t="s">
        <v>2103</v>
      </c>
      <c r="D133">
        <v>2043.5</v>
      </c>
      <c r="G133">
        <v>2043.0913</v>
      </c>
      <c r="H133">
        <v>242.32679999999999</v>
      </c>
      <c r="I133">
        <v>0.65189999999999981</v>
      </c>
      <c r="J133">
        <v>241.67489999999998</v>
      </c>
      <c r="K133">
        <v>2043.8516752704127</v>
      </c>
      <c r="L133">
        <v>100.03721690119343</v>
      </c>
      <c r="M133">
        <v>2014.0916520399664</v>
      </c>
      <c r="N133">
        <v>98.580599508204372</v>
      </c>
      <c r="O133">
        <v>128</v>
      </c>
      <c r="P133">
        <v>41.7</v>
      </c>
      <c r="Q133">
        <v>100</v>
      </c>
      <c r="R133">
        <v>3</v>
      </c>
      <c r="S133" t="s">
        <v>40</v>
      </c>
      <c r="T133" t="s">
        <v>40</v>
      </c>
    </row>
    <row r="134" spans="1:25">
      <c r="A134" s="139">
        <v>44438</v>
      </c>
      <c r="B134">
        <v>32</v>
      </c>
      <c r="C134" t="s">
        <v>2104</v>
      </c>
      <c r="H134">
        <v>0.72650000000000003</v>
      </c>
      <c r="I134">
        <v>0.65189999999999981</v>
      </c>
      <c r="J134">
        <v>7.4600000000000222E-2</v>
      </c>
      <c r="O134">
        <v>128</v>
      </c>
      <c r="P134">
        <v>41.7</v>
      </c>
      <c r="Q134">
        <v>100</v>
      </c>
      <c r="R134">
        <v>3</v>
      </c>
      <c r="S134" t="s">
        <v>40</v>
      </c>
      <c r="T134" t="s">
        <v>40</v>
      </c>
    </row>
    <row r="137" spans="1:25">
      <c r="A137" t="s">
        <v>2154</v>
      </c>
    </row>
    <row r="138" spans="1:25">
      <c r="A138" t="s">
        <v>2114</v>
      </c>
    </row>
    <row r="139" spans="1:25">
      <c r="A139" t="s">
        <v>2155</v>
      </c>
    </row>
    <row r="140" spans="1:25">
      <c r="A140" s="139">
        <v>44441</v>
      </c>
      <c r="B140">
        <v>1</v>
      </c>
      <c r="C140" t="s">
        <v>2073</v>
      </c>
      <c r="H140">
        <v>0.2843</v>
      </c>
    </row>
    <row r="141" spans="1:25">
      <c r="A141" s="139">
        <v>44441</v>
      </c>
      <c r="B141">
        <v>2</v>
      </c>
      <c r="C141" t="s">
        <v>2074</v>
      </c>
      <c r="H141">
        <v>0.23200000000000001</v>
      </c>
    </row>
    <row r="142" spans="1:25">
      <c r="A142" s="139">
        <v>44441</v>
      </c>
      <c r="B142">
        <v>3</v>
      </c>
      <c r="C142" t="s">
        <v>2075</v>
      </c>
      <c r="G142">
        <v>0</v>
      </c>
      <c r="H142">
        <v>0.51590000000000003</v>
      </c>
      <c r="I142">
        <v>0.45857000000000003</v>
      </c>
      <c r="J142">
        <v>0.45857000000000003</v>
      </c>
    </row>
    <row r="143" spans="1:25">
      <c r="A143" s="139">
        <v>44441</v>
      </c>
      <c r="B143">
        <v>4</v>
      </c>
      <c r="C143" t="s">
        <v>2156</v>
      </c>
      <c r="D143">
        <v>464.4</v>
      </c>
      <c r="G143">
        <v>464.30712</v>
      </c>
      <c r="H143">
        <v>55.032899999999998</v>
      </c>
      <c r="I143">
        <v>0.45857000000000003</v>
      </c>
      <c r="J143">
        <v>54.574329999999996</v>
      </c>
      <c r="K143">
        <v>459.63527075825033</v>
      </c>
      <c r="L143">
        <v>98.993801938305467</v>
      </c>
      <c r="M143">
        <v>454.8163771606994</v>
      </c>
      <c r="N143">
        <v>97.955934244708416</v>
      </c>
      <c r="O143">
        <v>128</v>
      </c>
      <c r="P143">
        <v>41.7</v>
      </c>
      <c r="Q143">
        <v>100</v>
      </c>
      <c r="R143">
        <v>3</v>
      </c>
      <c r="S143" t="s">
        <v>40</v>
      </c>
      <c r="T143" t="s">
        <v>40</v>
      </c>
      <c r="X143" s="366">
        <f>A140</f>
        <v>44441</v>
      </c>
    </row>
    <row r="144" spans="1:25">
      <c r="A144" s="139">
        <v>44441</v>
      </c>
      <c r="B144">
        <v>5</v>
      </c>
      <c r="C144" t="s">
        <v>2157</v>
      </c>
      <c r="D144">
        <v>1362.1</v>
      </c>
      <c r="G144">
        <v>1361.8275799999999</v>
      </c>
      <c r="H144">
        <v>161.68960000000001</v>
      </c>
      <c r="I144">
        <v>0.45857000000000003</v>
      </c>
      <c r="J144">
        <v>161.23103</v>
      </c>
      <c r="K144">
        <v>1355.3409949713105</v>
      </c>
      <c r="L144">
        <v>99.523685294382901</v>
      </c>
      <c r="M144">
        <v>1343.6814148792675</v>
      </c>
      <c r="N144">
        <v>98.667513759654341</v>
      </c>
      <c r="O144">
        <v>128</v>
      </c>
      <c r="P144">
        <v>41.7</v>
      </c>
      <c r="Q144">
        <v>100</v>
      </c>
      <c r="R144">
        <v>3</v>
      </c>
      <c r="S144" t="s">
        <v>40</v>
      </c>
      <c r="T144" t="s">
        <v>40</v>
      </c>
      <c r="X144" s="125">
        <f>((J142-INDEX(LINEST($J$142:$J$147,$G$142:$G$147),2))/INDEX(LINEST($J$142:$J$147,$G$142:$G$147),1)/100.09)*12.01</f>
        <v>0.62032497302016587</v>
      </c>
      <c r="Y144" s="125">
        <f>(J142-X144)^2</f>
        <v>2.616467129675458E-2</v>
      </c>
    </row>
    <row r="145" spans="1:27">
      <c r="A145" s="139">
        <v>44441</v>
      </c>
      <c r="B145">
        <v>6</v>
      </c>
      <c r="C145" t="s">
        <v>2158</v>
      </c>
      <c r="D145">
        <v>1952.2</v>
      </c>
      <c r="G145">
        <v>1951.8095600000001</v>
      </c>
      <c r="H145">
        <v>233.12540000000001</v>
      </c>
      <c r="I145">
        <v>0.45857000000000003</v>
      </c>
      <c r="J145">
        <v>232.66683</v>
      </c>
      <c r="K145">
        <v>1955.2606903466531</v>
      </c>
      <c r="L145">
        <v>100.17681696090538</v>
      </c>
      <c r="M145">
        <v>1939.019401723564</v>
      </c>
      <c r="N145">
        <v>99.344702549953894</v>
      </c>
      <c r="O145">
        <v>128</v>
      </c>
      <c r="P145">
        <v>41.7</v>
      </c>
      <c r="Q145">
        <v>100</v>
      </c>
      <c r="R145">
        <v>3</v>
      </c>
      <c r="S145" t="s">
        <v>40</v>
      </c>
      <c r="T145" t="s">
        <v>40</v>
      </c>
      <c r="X145" s="125">
        <f t="shared" ref="X145:X148" si="16">((J143-INDEX(LINEST($J$142:$J$147,$G$142:$G$147),2))/INDEX(LINEST($J$142:$J$147,$G$142:$G$147),1)/100.09)*12.01</f>
        <v>55.152558715222156</v>
      </c>
      <c r="Y145" s="125">
        <f t="shared" ref="Y145:Y148" si="17">(J143-X145)^2</f>
        <v>0.33434844710746969</v>
      </c>
    </row>
    <row r="146" spans="1:27">
      <c r="A146" s="139">
        <v>44441</v>
      </c>
      <c r="B146">
        <v>7</v>
      </c>
      <c r="C146" t="s">
        <v>2159</v>
      </c>
      <c r="D146">
        <v>3193.7</v>
      </c>
      <c r="G146">
        <v>3193.0612599999999</v>
      </c>
      <c r="H146">
        <v>381.70769999999999</v>
      </c>
      <c r="I146">
        <v>0.45857000000000003</v>
      </c>
      <c r="J146">
        <v>381.24912999999998</v>
      </c>
      <c r="K146">
        <v>3203.0586873477055</v>
      </c>
      <c r="L146">
        <v>100.31309851373491</v>
      </c>
      <c r="M146">
        <v>3177.2877120482931</v>
      </c>
      <c r="N146">
        <v>99.506005470383414</v>
      </c>
      <c r="O146">
        <v>128</v>
      </c>
      <c r="P146">
        <v>41.7</v>
      </c>
      <c r="Q146">
        <v>100</v>
      </c>
      <c r="R146">
        <v>3</v>
      </c>
      <c r="S146" t="s">
        <v>40</v>
      </c>
      <c r="T146" t="s">
        <v>40</v>
      </c>
      <c r="X146" s="125">
        <f t="shared" si="16"/>
        <v>162.63008641827793</v>
      </c>
      <c r="Y146" s="125">
        <f t="shared" si="17"/>
        <v>1.9573588615246489</v>
      </c>
    </row>
    <row r="147" spans="1:27">
      <c r="A147" s="139">
        <v>44441</v>
      </c>
      <c r="B147">
        <v>8</v>
      </c>
      <c r="C147" t="s">
        <v>2160</v>
      </c>
      <c r="D147">
        <v>3708</v>
      </c>
      <c r="G147">
        <v>3707.2584000000002</v>
      </c>
      <c r="H147">
        <v>440.85730000000001</v>
      </c>
      <c r="I147">
        <v>0.45857000000000003</v>
      </c>
      <c r="J147">
        <v>440.39873</v>
      </c>
      <c r="K147">
        <v>3699.7985574628769</v>
      </c>
      <c r="L147">
        <v>99.79877737853063</v>
      </c>
      <c r="M147">
        <v>3670.2338789092423</v>
      </c>
      <c r="N147">
        <v>99.001296454254231</v>
      </c>
      <c r="O147">
        <v>128</v>
      </c>
      <c r="P147">
        <v>41.7</v>
      </c>
      <c r="Q147">
        <v>100</v>
      </c>
      <c r="R147">
        <v>3</v>
      </c>
      <c r="S147" t="s">
        <v>40</v>
      </c>
      <c r="T147" t="s">
        <v>40</v>
      </c>
      <c r="X147" s="125">
        <f t="shared" si="16"/>
        <v>234.61565482129384</v>
      </c>
      <c r="Y147" s="125">
        <f t="shared" si="17"/>
        <v>3.7979181840909679</v>
      </c>
    </row>
    <row r="148" spans="1:27">
      <c r="A148" s="139">
        <v>44441</v>
      </c>
      <c r="B148">
        <v>9</v>
      </c>
      <c r="C148" t="s">
        <v>2082</v>
      </c>
      <c r="H148">
        <v>0.50160000000000005</v>
      </c>
      <c r="I148">
        <v>0.45857000000000003</v>
      </c>
      <c r="J148">
        <v>4.3030000000000013E-2</v>
      </c>
      <c r="O148">
        <v>128</v>
      </c>
      <c r="P148">
        <v>41.7</v>
      </c>
      <c r="Q148">
        <v>100</v>
      </c>
      <c r="R148">
        <v>3</v>
      </c>
      <c r="S148" t="s">
        <v>40</v>
      </c>
      <c r="T148" t="s">
        <v>40</v>
      </c>
      <c r="X148" s="125">
        <f t="shared" si="16"/>
        <v>384.34144105351123</v>
      </c>
      <c r="Y148" s="125">
        <f t="shared" si="17"/>
        <v>9.5623876516678745</v>
      </c>
    </row>
    <row r="149" spans="1:27" ht="15.75">
      <c r="A149" s="139">
        <v>44441</v>
      </c>
      <c r="B149">
        <v>10</v>
      </c>
      <c r="C149" t="s">
        <v>2083</v>
      </c>
      <c r="H149">
        <v>0.3654</v>
      </c>
      <c r="I149">
        <v>0.45857000000000003</v>
      </c>
      <c r="J149">
        <v>-9.3170000000000031E-2</v>
      </c>
      <c r="O149">
        <v>128</v>
      </c>
      <c r="P149">
        <v>41.7</v>
      </c>
      <c r="Q149">
        <v>100</v>
      </c>
      <c r="R149">
        <v>3</v>
      </c>
      <c r="S149" t="s">
        <v>40</v>
      </c>
      <c r="T149" t="s">
        <v>40</v>
      </c>
      <c r="X149" s="125">
        <f>((J147-INDEX(LINEST($J$142:$J$147,$G$142:$G$147),2))/INDEX(LINEST($J$142:$J$147,$G$142:$G$147),1)/100.09)*12.01</f>
        <v>443.94625512168199</v>
      </c>
      <c r="Y149" s="125">
        <f>(J147-X149)^2</f>
        <v>12.584934488964787</v>
      </c>
      <c r="AA149" s="226" t="s">
        <v>2193</v>
      </c>
    </row>
    <row r="150" spans="1:27" ht="15.75">
      <c r="A150" s="139">
        <v>44441</v>
      </c>
      <c r="B150">
        <v>11</v>
      </c>
      <c r="C150" t="s">
        <v>2084</v>
      </c>
      <c r="D150">
        <v>1283</v>
      </c>
      <c r="H150">
        <v>17.7453</v>
      </c>
      <c r="I150">
        <v>0.45857000000000003</v>
      </c>
      <c r="J150">
        <v>17.286729999999999</v>
      </c>
      <c r="K150">
        <v>146.49304188592546</v>
      </c>
      <c r="L150">
        <v>11.418007941225678</v>
      </c>
      <c r="M150">
        <v>144.06567907577019</v>
      </c>
      <c r="N150">
        <v>11.228813645812174</v>
      </c>
      <c r="O150">
        <v>128</v>
      </c>
      <c r="P150">
        <v>41.7</v>
      </c>
      <c r="Q150">
        <v>100</v>
      </c>
      <c r="R150">
        <v>3</v>
      </c>
      <c r="S150" t="s">
        <v>40</v>
      </c>
      <c r="T150" t="s">
        <v>40</v>
      </c>
      <c r="Y150" s="225">
        <f>SQRT(SUM(Y144:Y149)/(6-2))</f>
        <v>2.6581531325646242</v>
      </c>
      <c r="Z150" s="226" t="s">
        <v>2194</v>
      </c>
      <c r="AA150" s="225">
        <f>(Y150/$AK$15)*100</f>
        <v>1.1369925084835621</v>
      </c>
    </row>
    <row r="151" spans="1:27" ht="15.75">
      <c r="A151" s="139">
        <v>44441</v>
      </c>
      <c r="B151">
        <v>12</v>
      </c>
      <c r="C151" t="s">
        <v>2084</v>
      </c>
      <c r="D151">
        <v>2064.3000000000002</v>
      </c>
      <c r="H151">
        <v>29.1433</v>
      </c>
      <c r="I151">
        <v>0.45857000000000003</v>
      </c>
      <c r="J151">
        <v>28.684729999999998</v>
      </c>
      <c r="K151">
        <v>242.21374058165162</v>
      </c>
      <c r="L151">
        <v>11.733456405641215</v>
      </c>
      <c r="M151">
        <v>239.05533935886763</v>
      </c>
      <c r="N151">
        <v>11.580455329112416</v>
      </c>
      <c r="O151">
        <v>128</v>
      </c>
      <c r="P151">
        <v>41.7</v>
      </c>
      <c r="Q151">
        <v>100</v>
      </c>
      <c r="R151">
        <v>3</v>
      </c>
      <c r="S151" t="s">
        <v>40</v>
      </c>
      <c r="T151" t="s">
        <v>40</v>
      </c>
      <c r="Y151" s="225">
        <f>(Y150/12.01)*100.09</f>
        <v>22.152751626843735</v>
      </c>
      <c r="Z151" s="226" t="s">
        <v>2195</v>
      </c>
    </row>
    <row r="152" spans="1:27">
      <c r="A152" s="139">
        <v>44441</v>
      </c>
      <c r="B152">
        <v>13</v>
      </c>
      <c r="C152" t="s">
        <v>2085</v>
      </c>
      <c r="H152">
        <v>0.22600000000000001</v>
      </c>
      <c r="I152">
        <v>0.45857000000000003</v>
      </c>
      <c r="J152">
        <v>-0.23257000000000003</v>
      </c>
      <c r="O152">
        <v>128</v>
      </c>
      <c r="P152">
        <v>41.7</v>
      </c>
      <c r="Q152">
        <v>100</v>
      </c>
      <c r="R152">
        <v>3</v>
      </c>
      <c r="S152" t="s">
        <v>40</v>
      </c>
      <c r="T152" t="s">
        <v>40</v>
      </c>
    </row>
    <row r="153" spans="1:27">
      <c r="A153" s="139">
        <v>44441</v>
      </c>
      <c r="B153">
        <v>14</v>
      </c>
      <c r="C153" t="s">
        <v>2086</v>
      </c>
      <c r="H153">
        <v>0.28210000000000002</v>
      </c>
      <c r="I153">
        <v>0.45857000000000003</v>
      </c>
      <c r="J153">
        <v>-0.17647000000000002</v>
      </c>
      <c r="O153">
        <v>128</v>
      </c>
      <c r="P153">
        <v>41.7</v>
      </c>
      <c r="Q153">
        <v>100</v>
      </c>
      <c r="R153">
        <v>3</v>
      </c>
      <c r="S153" t="s">
        <v>40</v>
      </c>
      <c r="T153" t="s">
        <v>40</v>
      </c>
    </row>
    <row r="154" spans="1:27">
      <c r="A154" s="139">
        <v>44441</v>
      </c>
      <c r="B154">
        <v>15</v>
      </c>
      <c r="C154" t="s">
        <v>2161</v>
      </c>
      <c r="D154">
        <v>3539.1</v>
      </c>
      <c r="H154">
        <v>257.81229999999999</v>
      </c>
      <c r="I154">
        <v>0.45857000000000003</v>
      </c>
      <c r="J154">
        <v>257.35372999999998</v>
      </c>
      <c r="K154">
        <v>2162.5819148273972</v>
      </c>
      <c r="L154">
        <v>61.105419875883626</v>
      </c>
      <c r="M154">
        <v>2144.7572719150708</v>
      </c>
      <c r="N154">
        <v>60.601770843295498</v>
      </c>
      <c r="O154">
        <v>128</v>
      </c>
      <c r="P154">
        <v>41.7</v>
      </c>
      <c r="Q154">
        <v>100</v>
      </c>
      <c r="R154">
        <v>3</v>
      </c>
      <c r="S154" t="s">
        <v>40</v>
      </c>
      <c r="T154" t="s">
        <v>40</v>
      </c>
    </row>
    <row r="155" spans="1:27">
      <c r="A155" s="139">
        <v>44441</v>
      </c>
      <c r="B155">
        <v>16</v>
      </c>
      <c r="C155" t="s">
        <v>2162</v>
      </c>
      <c r="D155">
        <v>3279.5</v>
      </c>
      <c r="H155">
        <v>257.8741</v>
      </c>
      <c r="I155">
        <v>0.45857000000000003</v>
      </c>
      <c r="J155">
        <v>257.41552999999999</v>
      </c>
      <c r="K155">
        <v>2163.1009128252385</v>
      </c>
      <c r="L155">
        <v>65.958253173509334</v>
      </c>
      <c r="M155">
        <v>2145.272306219817</v>
      </c>
      <c r="N155">
        <v>65.414615222436865</v>
      </c>
      <c r="O155">
        <v>128</v>
      </c>
      <c r="P155">
        <v>41.7</v>
      </c>
      <c r="Q155">
        <v>100</v>
      </c>
      <c r="R155">
        <v>3</v>
      </c>
      <c r="S155" t="s">
        <v>40</v>
      </c>
      <c r="T155" t="s">
        <v>40</v>
      </c>
    </row>
    <row r="156" spans="1:27">
      <c r="A156" s="139">
        <v>44441</v>
      </c>
      <c r="B156">
        <v>17</v>
      </c>
      <c r="C156" t="s">
        <v>2163</v>
      </c>
      <c r="D156">
        <v>3020.7</v>
      </c>
      <c r="H156">
        <v>231.3802</v>
      </c>
      <c r="I156">
        <v>0.45857000000000003</v>
      </c>
      <c r="J156">
        <v>230.92162999999999</v>
      </c>
      <c r="K156">
        <v>1940.6044556244403</v>
      </c>
      <c r="L156">
        <v>64.243534797379425</v>
      </c>
      <c r="M156">
        <v>1924.4750996419652</v>
      </c>
      <c r="N156">
        <v>63.709573927962573</v>
      </c>
      <c r="O156">
        <v>128</v>
      </c>
      <c r="P156">
        <v>41.7</v>
      </c>
      <c r="Q156">
        <v>100</v>
      </c>
      <c r="R156">
        <v>3</v>
      </c>
      <c r="S156" t="s">
        <v>40</v>
      </c>
      <c r="T156" t="s">
        <v>40</v>
      </c>
    </row>
    <row r="157" spans="1:27">
      <c r="A157" s="139">
        <v>44441</v>
      </c>
      <c r="B157">
        <v>18</v>
      </c>
      <c r="C157" t="s">
        <v>2164</v>
      </c>
      <c r="D157">
        <v>2807.2</v>
      </c>
      <c r="H157">
        <v>205.1097</v>
      </c>
      <c r="I157">
        <v>0.45857000000000003</v>
      </c>
      <c r="J157">
        <v>204.65112999999999</v>
      </c>
      <c r="K157">
        <v>1719.9841173996574</v>
      </c>
      <c r="L157">
        <v>61.270451603008603</v>
      </c>
      <c r="M157">
        <v>1705.5396837385513</v>
      </c>
      <c r="N157">
        <v>60.755902099549424</v>
      </c>
      <c r="O157">
        <v>128</v>
      </c>
      <c r="P157">
        <v>41.7</v>
      </c>
      <c r="Q157">
        <v>100</v>
      </c>
      <c r="R157">
        <v>3</v>
      </c>
      <c r="S157" t="s">
        <v>40</v>
      </c>
      <c r="T157" t="s">
        <v>40</v>
      </c>
    </row>
    <row r="158" spans="1:27">
      <c r="A158" s="139">
        <v>44441</v>
      </c>
      <c r="B158">
        <v>19</v>
      </c>
      <c r="C158" t="s">
        <v>2165</v>
      </c>
      <c r="D158">
        <v>3095.6</v>
      </c>
      <c r="H158">
        <v>233.6422</v>
      </c>
      <c r="I158">
        <v>0.45857000000000003</v>
      </c>
      <c r="J158">
        <v>233.18362999999999</v>
      </c>
      <c r="K158">
        <v>1959.6007901085368</v>
      </c>
      <c r="L158">
        <v>63.30277781717718</v>
      </c>
      <c r="M158">
        <v>1943.3263552622814</v>
      </c>
      <c r="N158">
        <v>62.777049853413928</v>
      </c>
      <c r="O158">
        <v>128</v>
      </c>
      <c r="P158">
        <v>41.7</v>
      </c>
      <c r="Q158">
        <v>100</v>
      </c>
      <c r="R158">
        <v>3</v>
      </c>
      <c r="S158" t="s">
        <v>40</v>
      </c>
      <c r="T158" t="s">
        <v>40</v>
      </c>
    </row>
    <row r="159" spans="1:27">
      <c r="A159" s="139">
        <v>44441</v>
      </c>
      <c r="B159">
        <v>20</v>
      </c>
      <c r="C159" t="s">
        <v>2166</v>
      </c>
      <c r="D159">
        <v>2909.8</v>
      </c>
      <c r="H159">
        <v>230.64160000000001</v>
      </c>
      <c r="I159">
        <v>0.45857000000000003</v>
      </c>
      <c r="J159">
        <v>230.18303</v>
      </c>
      <c r="K159">
        <v>1934.4016737279092</v>
      </c>
      <c r="L159">
        <v>66.47885331390161</v>
      </c>
      <c r="M159">
        <v>1918.3196896502916</v>
      </c>
      <c r="N159">
        <v>65.926169827833235</v>
      </c>
      <c r="O159">
        <v>128</v>
      </c>
      <c r="P159">
        <v>41.7</v>
      </c>
      <c r="Q159">
        <v>100</v>
      </c>
      <c r="R159">
        <v>3</v>
      </c>
      <c r="S159" t="s">
        <v>40</v>
      </c>
      <c r="T159" t="s">
        <v>40</v>
      </c>
    </row>
    <row r="160" spans="1:27">
      <c r="A160" s="139">
        <v>44441</v>
      </c>
      <c r="B160">
        <v>21</v>
      </c>
      <c r="C160" t="s">
        <v>2167</v>
      </c>
      <c r="D160">
        <v>2649.8</v>
      </c>
      <c r="H160">
        <v>194.0866</v>
      </c>
      <c r="I160">
        <v>0.45857000000000003</v>
      </c>
      <c r="J160">
        <v>193.62803</v>
      </c>
      <c r="K160">
        <v>1627.411838596985</v>
      </c>
      <c r="L160">
        <v>61.416402694429195</v>
      </c>
      <c r="M160">
        <v>1613.6743982264779</v>
      </c>
      <c r="N160">
        <v>60.897969591156979</v>
      </c>
      <c r="O160">
        <v>128</v>
      </c>
      <c r="P160">
        <v>41.7</v>
      </c>
      <c r="Q160">
        <v>100</v>
      </c>
      <c r="R160">
        <v>3</v>
      </c>
      <c r="S160" t="s">
        <v>40</v>
      </c>
      <c r="T160" t="s">
        <v>40</v>
      </c>
    </row>
    <row r="161" spans="1:20">
      <c r="A161" s="139">
        <v>44441</v>
      </c>
      <c r="B161">
        <v>22</v>
      </c>
      <c r="C161" t="s">
        <v>2094</v>
      </c>
      <c r="H161">
        <v>0.69379999999999997</v>
      </c>
      <c r="I161">
        <v>0.45857000000000003</v>
      </c>
      <c r="J161">
        <v>0.23522999999999994</v>
      </c>
      <c r="O161">
        <v>128</v>
      </c>
      <c r="P161">
        <v>41.7</v>
      </c>
      <c r="Q161">
        <v>100</v>
      </c>
      <c r="R161">
        <v>3</v>
      </c>
      <c r="S161" t="s">
        <v>40</v>
      </c>
      <c r="T161" t="s">
        <v>40</v>
      </c>
    </row>
    <row r="162" spans="1:20">
      <c r="A162" s="139">
        <v>44441</v>
      </c>
      <c r="B162">
        <v>23</v>
      </c>
      <c r="C162" t="s">
        <v>2168</v>
      </c>
      <c r="D162">
        <v>2541.4</v>
      </c>
      <c r="H162">
        <v>191.53729999999999</v>
      </c>
      <c r="I162">
        <v>0.45857000000000003</v>
      </c>
      <c r="J162">
        <v>191.07872999999998</v>
      </c>
      <c r="K162">
        <v>1606.002751284736</v>
      </c>
      <c r="L162">
        <v>63.193623643847317</v>
      </c>
      <c r="M162">
        <v>1592.4288164612822</v>
      </c>
      <c r="N162">
        <v>62.659511153745264</v>
      </c>
      <c r="O162">
        <v>128</v>
      </c>
      <c r="P162">
        <v>41.7</v>
      </c>
      <c r="Q162">
        <v>100</v>
      </c>
      <c r="R162">
        <v>3</v>
      </c>
      <c r="S162" t="s">
        <v>40</v>
      </c>
      <c r="T162" t="s">
        <v>40</v>
      </c>
    </row>
    <row r="163" spans="1:20">
      <c r="A163" s="139">
        <v>44441</v>
      </c>
      <c r="B163">
        <v>24</v>
      </c>
      <c r="C163" t="s">
        <v>2169</v>
      </c>
      <c r="D163">
        <v>3048.4</v>
      </c>
      <c r="H163">
        <v>254.83340000000001</v>
      </c>
      <c r="I163">
        <v>0.45857000000000003</v>
      </c>
      <c r="J163">
        <v>254.37483</v>
      </c>
      <c r="K163">
        <v>2137.565035607824</v>
      </c>
      <c r="L163">
        <v>70.120884254291553</v>
      </c>
      <c r="M163">
        <v>2119.9314516819318</v>
      </c>
      <c r="N163">
        <v>69.542430510495066</v>
      </c>
      <c r="O163">
        <v>128</v>
      </c>
      <c r="P163">
        <v>41.7</v>
      </c>
      <c r="Q163">
        <v>100</v>
      </c>
      <c r="R163">
        <v>3</v>
      </c>
      <c r="S163" t="s">
        <v>40</v>
      </c>
      <c r="T163" t="s">
        <v>40</v>
      </c>
    </row>
    <row r="164" spans="1:20">
      <c r="A164" s="139">
        <v>44441</v>
      </c>
      <c r="B164">
        <v>25</v>
      </c>
      <c r="C164" t="s">
        <v>2170</v>
      </c>
      <c r="D164">
        <v>3209.4</v>
      </c>
      <c r="H164">
        <v>261.08600000000001</v>
      </c>
      <c r="I164">
        <v>0.45857000000000003</v>
      </c>
      <c r="J164">
        <v>260.62743</v>
      </c>
      <c r="K164">
        <v>2190.0745320690362</v>
      </c>
      <c r="L164">
        <v>68.239375960274074</v>
      </c>
      <c r="M164">
        <v>2172.0399224562866</v>
      </c>
      <c r="N164">
        <v>67.677445081831081</v>
      </c>
      <c r="O164">
        <v>128</v>
      </c>
      <c r="P164">
        <v>41.7</v>
      </c>
      <c r="Q164">
        <v>100</v>
      </c>
      <c r="R164">
        <v>3</v>
      </c>
      <c r="S164" t="s">
        <v>40</v>
      </c>
      <c r="T164" t="s">
        <v>40</v>
      </c>
    </row>
    <row r="165" spans="1:20">
      <c r="A165" s="139">
        <v>44441</v>
      </c>
      <c r="B165">
        <v>26</v>
      </c>
      <c r="C165" t="s">
        <v>2171</v>
      </c>
      <c r="D165">
        <v>3007.7</v>
      </c>
      <c r="H165">
        <v>241.5093</v>
      </c>
      <c r="I165">
        <v>0.45857000000000003</v>
      </c>
      <c r="J165">
        <v>241.05072999999999</v>
      </c>
      <c r="K165">
        <v>2025.6688993127084</v>
      </c>
      <c r="L165">
        <v>67.34943309880336</v>
      </c>
      <c r="M165">
        <v>2008.889888900916</v>
      </c>
      <c r="N165">
        <v>66.79156461418745</v>
      </c>
      <c r="O165">
        <v>128</v>
      </c>
      <c r="P165">
        <v>41.7</v>
      </c>
      <c r="Q165">
        <v>100</v>
      </c>
      <c r="R165">
        <v>3</v>
      </c>
      <c r="S165" t="s">
        <v>40</v>
      </c>
      <c r="T165" t="s">
        <v>40</v>
      </c>
    </row>
    <row r="166" spans="1:20">
      <c r="A166" s="139">
        <v>44441</v>
      </c>
      <c r="B166">
        <v>27</v>
      </c>
      <c r="C166" t="s">
        <v>2172</v>
      </c>
      <c r="D166">
        <v>2429.9</v>
      </c>
      <c r="H166">
        <v>190.54259999999999</v>
      </c>
      <c r="I166">
        <v>0.45857000000000003</v>
      </c>
      <c r="J166">
        <v>190.08402999999998</v>
      </c>
      <c r="K166">
        <v>1597.6492349667294</v>
      </c>
      <c r="L166">
        <v>65.749587841751904</v>
      </c>
      <c r="M166">
        <v>1584.1390976436301</v>
      </c>
      <c r="N166">
        <v>65.193592231928463</v>
      </c>
      <c r="O166">
        <v>128</v>
      </c>
      <c r="P166">
        <v>41.7</v>
      </c>
      <c r="Q166">
        <v>100</v>
      </c>
      <c r="R166">
        <v>3</v>
      </c>
      <c r="S166" t="s">
        <v>40</v>
      </c>
      <c r="T166" t="s">
        <v>40</v>
      </c>
    </row>
    <row r="167" spans="1:20">
      <c r="A167" s="139">
        <v>44441</v>
      </c>
      <c r="B167">
        <v>28</v>
      </c>
      <c r="C167" t="s">
        <v>2173</v>
      </c>
      <c r="D167">
        <v>2625.5</v>
      </c>
      <c r="H167">
        <v>199.077</v>
      </c>
      <c r="I167">
        <v>0.45857000000000003</v>
      </c>
      <c r="J167">
        <v>198.61842999999999</v>
      </c>
      <c r="K167">
        <v>1669.321346823968</v>
      </c>
      <c r="L167">
        <v>63.581083482154568</v>
      </c>
      <c r="M167">
        <v>1655.2638350291425</v>
      </c>
      <c r="N167">
        <v>63.045661208499048</v>
      </c>
      <c r="O167">
        <v>128</v>
      </c>
      <c r="P167">
        <v>41.7</v>
      </c>
      <c r="Q167">
        <v>100</v>
      </c>
      <c r="R167">
        <v>3</v>
      </c>
      <c r="S167" t="s">
        <v>40</v>
      </c>
      <c r="T167" t="s">
        <v>40</v>
      </c>
    </row>
    <row r="168" spans="1:20">
      <c r="A168" s="139">
        <v>44441</v>
      </c>
      <c r="B168">
        <v>29</v>
      </c>
      <c r="C168" t="s">
        <v>2174</v>
      </c>
      <c r="D168">
        <v>2797.3</v>
      </c>
      <c r="H168">
        <v>179.57550000000001</v>
      </c>
      <c r="I168">
        <v>0.45857000000000003</v>
      </c>
      <c r="J168">
        <v>179.11693</v>
      </c>
      <c r="K168">
        <v>1505.5472456119394</v>
      </c>
      <c r="L168">
        <v>53.821443735457017</v>
      </c>
      <c r="M168">
        <v>1492.7405098834304</v>
      </c>
      <c r="N168">
        <v>53.363618842577857</v>
      </c>
      <c r="O168">
        <v>128</v>
      </c>
      <c r="P168">
        <v>41.7</v>
      </c>
      <c r="Q168">
        <v>100</v>
      </c>
      <c r="R168">
        <v>3</v>
      </c>
      <c r="S168" t="s">
        <v>40</v>
      </c>
      <c r="T168" t="s">
        <v>40</v>
      </c>
    </row>
    <row r="169" spans="1:20">
      <c r="A169" s="139">
        <v>44441</v>
      </c>
      <c r="B169">
        <v>30</v>
      </c>
      <c r="C169" t="s">
        <v>2102</v>
      </c>
      <c r="H169">
        <v>0.51419999999999999</v>
      </c>
      <c r="I169">
        <v>0.45857000000000003</v>
      </c>
      <c r="J169">
        <v>5.5629999999999957E-2</v>
      </c>
      <c r="O169">
        <v>128</v>
      </c>
      <c r="P169">
        <v>41.7</v>
      </c>
      <c r="Q169">
        <v>100</v>
      </c>
      <c r="R169">
        <v>3</v>
      </c>
      <c r="S169" t="s">
        <v>40</v>
      </c>
      <c r="T169" t="s">
        <v>40</v>
      </c>
    </row>
    <row r="170" spans="1:20">
      <c r="A170" s="139">
        <v>44441</v>
      </c>
      <c r="B170">
        <v>31</v>
      </c>
      <c r="C170" t="s">
        <v>2103</v>
      </c>
      <c r="D170">
        <v>1395.7</v>
      </c>
      <c r="G170">
        <v>1395.4208600000002</v>
      </c>
      <c r="H170">
        <v>165.3459</v>
      </c>
      <c r="I170">
        <v>0.45857000000000003</v>
      </c>
      <c r="J170">
        <v>164.88732999999999</v>
      </c>
      <c r="K170">
        <v>1386.0466969050867</v>
      </c>
      <c r="L170">
        <v>99.328219653036186</v>
      </c>
      <c r="M170">
        <v>1374.1526111323894</v>
      </c>
      <c r="N170">
        <v>98.475854168640524</v>
      </c>
      <c r="O170">
        <v>128</v>
      </c>
      <c r="P170">
        <v>41.7</v>
      </c>
      <c r="Q170">
        <v>100</v>
      </c>
      <c r="R170">
        <v>3</v>
      </c>
      <c r="S170" t="s">
        <v>40</v>
      </c>
      <c r="T170" t="s">
        <v>40</v>
      </c>
    </row>
    <row r="171" spans="1:20">
      <c r="A171" s="139">
        <v>44441</v>
      </c>
      <c r="B171">
        <v>32</v>
      </c>
      <c r="C171" t="s">
        <v>2104</v>
      </c>
      <c r="H171">
        <v>0.97040000000000004</v>
      </c>
      <c r="I171">
        <v>0.45857000000000003</v>
      </c>
      <c r="J171">
        <v>0.51183000000000001</v>
      </c>
      <c r="O171">
        <v>128</v>
      </c>
      <c r="P171">
        <v>41.7</v>
      </c>
      <c r="Q171">
        <v>100</v>
      </c>
      <c r="R171">
        <v>3</v>
      </c>
      <c r="S171" t="s">
        <v>40</v>
      </c>
      <c r="T171" t="s">
        <v>40</v>
      </c>
    </row>
    <row r="174" spans="1:20">
      <c r="A174" t="s">
        <v>2154</v>
      </c>
    </row>
    <row r="175" spans="1:20">
      <c r="A175" t="s">
        <v>2114</v>
      </c>
    </row>
    <row r="176" spans="1:20">
      <c r="A176" t="s">
        <v>2175</v>
      </c>
    </row>
    <row r="177" spans="1:27">
      <c r="A177" s="139">
        <v>44441</v>
      </c>
      <c r="B177">
        <v>1</v>
      </c>
      <c r="C177" t="s">
        <v>2073</v>
      </c>
      <c r="H177">
        <v>0</v>
      </c>
    </row>
    <row r="178" spans="1:27">
      <c r="A178" s="139">
        <v>44441</v>
      </c>
      <c r="B178">
        <v>2</v>
      </c>
      <c r="C178" t="s">
        <v>2074</v>
      </c>
      <c r="H178">
        <v>0</v>
      </c>
    </row>
    <row r="179" spans="1:27">
      <c r="A179" s="139">
        <v>44441</v>
      </c>
      <c r="B179">
        <v>3</v>
      </c>
      <c r="C179" t="s">
        <v>2075</v>
      </c>
      <c r="G179">
        <v>0</v>
      </c>
      <c r="H179">
        <v>0</v>
      </c>
      <c r="I179">
        <v>0.41376000000000002</v>
      </c>
      <c r="J179">
        <v>0.41376000000000002</v>
      </c>
    </row>
    <row r="180" spans="1:27">
      <c r="A180" s="139">
        <v>44441</v>
      </c>
      <c r="B180">
        <v>4</v>
      </c>
      <c r="C180" t="s">
        <v>2176</v>
      </c>
      <c r="D180">
        <v>307.10000000000002</v>
      </c>
      <c r="G180">
        <v>307.03858000000002</v>
      </c>
      <c r="H180">
        <v>31.163599999999999</v>
      </c>
      <c r="I180">
        <v>0.41376000000000002</v>
      </c>
      <c r="J180">
        <v>30.749839999999999</v>
      </c>
      <c r="K180">
        <v>276.94093910757681</v>
      </c>
      <c r="L180">
        <v>90.197440044041628</v>
      </c>
      <c r="M180">
        <v>256.26573568692754</v>
      </c>
      <c r="N180">
        <v>83.463692310890551</v>
      </c>
      <c r="O180">
        <v>128</v>
      </c>
      <c r="P180">
        <v>41.7</v>
      </c>
      <c r="Q180">
        <v>100</v>
      </c>
      <c r="R180">
        <v>3</v>
      </c>
      <c r="S180" t="s">
        <v>40</v>
      </c>
      <c r="T180" t="s">
        <v>40</v>
      </c>
    </row>
    <row r="181" spans="1:27">
      <c r="A181" s="139">
        <v>44441</v>
      </c>
      <c r="B181">
        <v>5</v>
      </c>
      <c r="C181" t="s">
        <v>2177</v>
      </c>
      <c r="D181">
        <v>778.7</v>
      </c>
      <c r="G181">
        <v>778.54426000000001</v>
      </c>
      <c r="H181">
        <v>91.444199999999995</v>
      </c>
      <c r="I181">
        <v>0.41376000000000002</v>
      </c>
      <c r="J181">
        <v>91.030439999999999</v>
      </c>
      <c r="K181">
        <v>780.5079420044982</v>
      </c>
      <c r="L181">
        <v>100.25222483876487</v>
      </c>
      <c r="M181">
        <v>758.63753035803506</v>
      </c>
      <c r="N181">
        <v>97.44308311489381</v>
      </c>
      <c r="O181">
        <v>128</v>
      </c>
      <c r="P181">
        <v>41.7</v>
      </c>
      <c r="Q181">
        <v>100</v>
      </c>
      <c r="R181">
        <v>3</v>
      </c>
      <c r="S181" t="s">
        <v>40</v>
      </c>
      <c r="T181" t="s">
        <v>40</v>
      </c>
    </row>
    <row r="182" spans="1:27">
      <c r="A182" s="139">
        <v>44441</v>
      </c>
      <c r="B182">
        <v>6</v>
      </c>
      <c r="C182" t="s">
        <v>2178</v>
      </c>
      <c r="D182">
        <v>2361.8000000000002</v>
      </c>
      <c r="G182">
        <v>2361.3276400000004</v>
      </c>
      <c r="H182">
        <v>281.14319999999998</v>
      </c>
      <c r="I182">
        <v>0.41376000000000002</v>
      </c>
      <c r="J182">
        <v>280.72943999999995</v>
      </c>
      <c r="K182">
        <v>2365.199482608657</v>
      </c>
      <c r="L182">
        <v>100.16396888526052</v>
      </c>
      <c r="M182">
        <v>2339.5678309408822</v>
      </c>
      <c r="N182">
        <v>99.07849259499126</v>
      </c>
      <c r="O182">
        <v>128</v>
      </c>
      <c r="P182">
        <v>41.7</v>
      </c>
      <c r="Q182">
        <v>100</v>
      </c>
      <c r="R182">
        <v>3</v>
      </c>
      <c r="S182" t="s">
        <v>40</v>
      </c>
      <c r="T182" t="s">
        <v>40</v>
      </c>
    </row>
    <row r="183" spans="1:27">
      <c r="A183" s="139">
        <v>44441</v>
      </c>
      <c r="B183">
        <v>7</v>
      </c>
      <c r="C183" t="s">
        <v>2179</v>
      </c>
      <c r="D183">
        <v>2834.8</v>
      </c>
      <c r="G183">
        <v>2834.2330400000001</v>
      </c>
      <c r="H183">
        <v>337.81950000000001</v>
      </c>
      <c r="I183">
        <v>0.41376000000000002</v>
      </c>
      <c r="J183">
        <v>337.40573999999998</v>
      </c>
      <c r="K183">
        <v>2838.6571875134991</v>
      </c>
      <c r="L183">
        <v>100.15609681529571</v>
      </c>
      <c r="M183">
        <v>2811.9017915570357</v>
      </c>
      <c r="N183">
        <v>99.212088486451194</v>
      </c>
      <c r="O183">
        <v>128</v>
      </c>
      <c r="P183">
        <v>41.7</v>
      </c>
      <c r="Q183">
        <v>100</v>
      </c>
      <c r="R183">
        <v>3</v>
      </c>
      <c r="S183" t="s">
        <v>40</v>
      </c>
      <c r="T183" t="s">
        <v>40</v>
      </c>
      <c r="X183" s="366">
        <f>A188</f>
        <v>44441</v>
      </c>
    </row>
    <row r="184" spans="1:27">
      <c r="A184" s="139">
        <v>44441</v>
      </c>
      <c r="B184">
        <v>8</v>
      </c>
      <c r="C184" t="s">
        <v>2180</v>
      </c>
      <c r="D184">
        <v>3792.7</v>
      </c>
      <c r="G184">
        <v>3791.94146</v>
      </c>
      <c r="H184">
        <v>451.49349999999998</v>
      </c>
      <c r="I184">
        <v>0.41376000000000002</v>
      </c>
      <c r="J184">
        <v>451.07973999999996</v>
      </c>
      <c r="K184">
        <v>3788.2574815932635</v>
      </c>
      <c r="L184">
        <v>99.902847170886005</v>
      </c>
      <c r="M184">
        <v>3759.2482245295582</v>
      </c>
      <c r="N184">
        <v>99.137823307260604</v>
      </c>
      <c r="O184">
        <v>128</v>
      </c>
      <c r="P184">
        <v>41.7</v>
      </c>
      <c r="Q184">
        <v>100</v>
      </c>
      <c r="R184">
        <v>3</v>
      </c>
      <c r="S184" t="s">
        <v>40</v>
      </c>
      <c r="T184" t="s">
        <v>40</v>
      </c>
      <c r="X184" s="125">
        <f>((J179-INDEX(LINEST($J$179:$J$184,$G$179:$G$184),2))/INDEX(LINEST($J$179:$J$184,$G$179:$G$184),1)/100.09)*12.01</f>
        <v>2.8224456543290555</v>
      </c>
      <c r="Y184" s="125">
        <f>(J179-X184)^2</f>
        <v>5.8017665813705905</v>
      </c>
    </row>
    <row r="185" spans="1:27">
      <c r="A185" s="139">
        <v>44441</v>
      </c>
      <c r="B185">
        <v>9</v>
      </c>
      <c r="C185" t="s">
        <v>2082</v>
      </c>
      <c r="H185">
        <v>0.45419999999999999</v>
      </c>
      <c r="I185">
        <v>0.41376000000000002</v>
      </c>
      <c r="J185">
        <v>4.0439999999999976E-2</v>
      </c>
      <c r="O185">
        <v>128</v>
      </c>
      <c r="P185">
        <v>41.7</v>
      </c>
      <c r="Q185">
        <v>100</v>
      </c>
      <c r="R185">
        <v>3</v>
      </c>
      <c r="S185" t="s">
        <v>40</v>
      </c>
      <c r="T185" t="s">
        <v>40</v>
      </c>
      <c r="X185" s="125">
        <f t="shared" ref="X185:X188" si="18">((J180-INDEX(LINEST($J$179:$J$184,$G$179:$G$184),2))/INDEX(LINEST($J$179:$J$184,$G$179:$G$184),1)/100.09)*12.01</f>
        <v>33.230699157578151</v>
      </c>
      <c r="Y185" s="125">
        <f t="shared" ref="Y185:Y188" si="19">(J180-X185)^2</f>
        <v>6.1546621597393782</v>
      </c>
    </row>
    <row r="186" spans="1:27">
      <c r="A186" s="139">
        <v>44441</v>
      </c>
      <c r="B186">
        <v>10</v>
      </c>
      <c r="C186" t="s">
        <v>2083</v>
      </c>
      <c r="H186">
        <v>0.48870000000000002</v>
      </c>
      <c r="I186">
        <v>0.41376000000000002</v>
      </c>
      <c r="J186">
        <v>7.4940000000000007E-2</v>
      </c>
      <c r="O186">
        <v>128</v>
      </c>
      <c r="P186">
        <v>41.7</v>
      </c>
      <c r="Q186">
        <v>100</v>
      </c>
      <c r="R186">
        <v>3</v>
      </c>
      <c r="S186" t="s">
        <v>40</v>
      </c>
      <c r="T186" t="s">
        <v>40</v>
      </c>
      <c r="X186" s="125">
        <f t="shared" si="18"/>
        <v>93.654714591607785</v>
      </c>
      <c r="Y186" s="125">
        <f t="shared" si="19"/>
        <v>6.8868171321582148</v>
      </c>
    </row>
    <row r="187" spans="1:27">
      <c r="A187" s="139">
        <v>44441</v>
      </c>
      <c r="B187">
        <v>11</v>
      </c>
      <c r="C187" t="s">
        <v>2084</v>
      </c>
      <c r="D187">
        <v>1347.2</v>
      </c>
      <c r="H187">
        <v>18.0243</v>
      </c>
      <c r="I187">
        <v>0.41376000000000002</v>
      </c>
      <c r="J187">
        <v>17.61054</v>
      </c>
      <c r="K187">
        <v>167.17896060763621</v>
      </c>
      <c r="L187">
        <v>12.409364653179647</v>
      </c>
      <c r="M187">
        <v>146.7642754870941</v>
      </c>
      <c r="N187">
        <v>10.894022824160784</v>
      </c>
      <c r="O187">
        <v>128</v>
      </c>
      <c r="P187">
        <v>41.7</v>
      </c>
      <c r="Q187">
        <v>100</v>
      </c>
      <c r="R187">
        <v>3</v>
      </c>
      <c r="S187" t="s">
        <v>40</v>
      </c>
      <c r="T187" t="s">
        <v>40</v>
      </c>
      <c r="X187" s="125">
        <f t="shared" si="18"/>
        <v>283.8050333313015</v>
      </c>
      <c r="Y187" s="125">
        <f t="shared" si="19"/>
        <v>9.4592743395465515</v>
      </c>
    </row>
    <row r="188" spans="1:27">
      <c r="A188" s="139">
        <v>44441</v>
      </c>
      <c r="B188">
        <v>12</v>
      </c>
      <c r="C188" t="s">
        <v>2084</v>
      </c>
      <c r="D188">
        <v>2192.5</v>
      </c>
      <c r="H188">
        <v>34.1693</v>
      </c>
      <c r="I188">
        <v>0.41376000000000002</v>
      </c>
      <c r="J188">
        <v>33.755539999999996</v>
      </c>
      <c r="K188">
        <v>302.04970279949885</v>
      </c>
      <c r="L188">
        <v>13.7764972770581</v>
      </c>
      <c r="M188">
        <v>281.31490412989177</v>
      </c>
      <c r="N188">
        <v>12.830782400451163</v>
      </c>
      <c r="O188">
        <v>128</v>
      </c>
      <c r="P188">
        <v>41.7</v>
      </c>
      <c r="Q188">
        <v>100</v>
      </c>
      <c r="R188">
        <v>3</v>
      </c>
      <c r="S188" t="s">
        <v>40</v>
      </c>
      <c r="T188" t="s">
        <v>40</v>
      </c>
      <c r="X188" s="125">
        <f t="shared" si="18"/>
        <v>340.61617366407353</v>
      </c>
      <c r="Y188" s="125">
        <f t="shared" si="19"/>
        <v>10.306884311416708</v>
      </c>
    </row>
    <row r="189" spans="1:27" ht="15.75">
      <c r="A189" s="139">
        <v>44441</v>
      </c>
      <c r="B189">
        <v>13</v>
      </c>
      <c r="C189" t="s">
        <v>2085</v>
      </c>
      <c r="H189">
        <v>0.36009999999999998</v>
      </c>
      <c r="I189">
        <v>0.41376000000000002</v>
      </c>
      <c r="J189">
        <v>-5.3660000000000041E-2</v>
      </c>
      <c r="O189">
        <v>128</v>
      </c>
      <c r="P189">
        <v>41.7</v>
      </c>
      <c r="Q189">
        <v>100</v>
      </c>
      <c r="R189">
        <v>3</v>
      </c>
      <c r="S189" t="s">
        <v>40</v>
      </c>
      <c r="T189" t="s">
        <v>40</v>
      </c>
      <c r="X189" s="125">
        <f>((J184-INDEX(LINEST($J$179:$J$184,$G$179:$G$184),2))/INDEX(LINEST($J$179:$J$184,$G$179:$G$184),1)/100.09)*12.01</f>
        <v>454.56061898226687</v>
      </c>
      <c r="Y189" s="125">
        <f>(J184-X189)^2</f>
        <v>12.116518489187557</v>
      </c>
      <c r="AA189" s="226" t="s">
        <v>2193</v>
      </c>
    </row>
    <row r="190" spans="1:27" ht="15.75">
      <c r="A190" s="139">
        <v>44441</v>
      </c>
      <c r="B190">
        <v>14</v>
      </c>
      <c r="C190" t="s">
        <v>2086</v>
      </c>
      <c r="H190">
        <v>0.27229999999999999</v>
      </c>
      <c r="I190">
        <v>0.41376000000000002</v>
      </c>
      <c r="J190">
        <v>-0.14146000000000003</v>
      </c>
      <c r="O190">
        <v>128</v>
      </c>
      <c r="P190">
        <v>41.7</v>
      </c>
      <c r="Q190">
        <v>100</v>
      </c>
      <c r="R190">
        <v>3</v>
      </c>
      <c r="S190" t="s">
        <v>40</v>
      </c>
      <c r="T190" t="s">
        <v>40</v>
      </c>
      <c r="Y190" s="225">
        <f>SQRT(SUM(Y184:Y189)/(6-2))</f>
        <v>3.5611066753685923</v>
      </c>
      <c r="Z190" s="226" t="s">
        <v>2194</v>
      </c>
      <c r="AA190" s="225">
        <f>(Y190/$AK$15)*100</f>
        <v>1.5232198484736683</v>
      </c>
    </row>
    <row r="191" spans="1:27" ht="15.75">
      <c r="A191" s="139">
        <v>44441</v>
      </c>
      <c r="B191">
        <v>15</v>
      </c>
      <c r="C191" t="s">
        <v>2181</v>
      </c>
      <c r="D191">
        <v>3224</v>
      </c>
      <c r="H191">
        <v>260.2373</v>
      </c>
      <c r="I191">
        <v>0.41376000000000002</v>
      </c>
      <c r="J191">
        <v>259.82353999999998</v>
      </c>
      <c r="K191">
        <v>2190.5575346873898</v>
      </c>
      <c r="L191">
        <v>67.945332961767662</v>
      </c>
      <c r="M191">
        <v>2165.340392889259</v>
      </c>
      <c r="N191">
        <v>67.163163551155677</v>
      </c>
      <c r="O191">
        <v>128</v>
      </c>
      <c r="P191">
        <v>41.7</v>
      </c>
      <c r="Q191">
        <v>100</v>
      </c>
      <c r="R191">
        <v>3</v>
      </c>
      <c r="S191" t="s">
        <v>40</v>
      </c>
      <c r="T191" t="s">
        <v>40</v>
      </c>
      <c r="Y191" s="225">
        <f>(Y190/12.01)*100.09</f>
        <v>29.677865706714609</v>
      </c>
      <c r="Z191" s="226" t="s">
        <v>2195</v>
      </c>
    </row>
    <row r="192" spans="1:27">
      <c r="A192" s="139">
        <v>44441</v>
      </c>
      <c r="B192">
        <v>16</v>
      </c>
      <c r="C192" t="s">
        <v>2182</v>
      </c>
      <c r="D192">
        <v>3333.1</v>
      </c>
      <c r="H192">
        <v>261.38909999999998</v>
      </c>
      <c r="I192">
        <v>0.41376000000000002</v>
      </c>
      <c r="J192">
        <v>260.97533999999996</v>
      </c>
      <c r="K192">
        <v>2200.179344588696</v>
      </c>
      <c r="L192">
        <v>66.010001037733517</v>
      </c>
      <c r="M192">
        <v>2174.9393655786844</v>
      </c>
      <c r="N192">
        <v>65.252748659766723</v>
      </c>
      <c r="O192">
        <v>128</v>
      </c>
      <c r="P192">
        <v>41.7</v>
      </c>
      <c r="Q192">
        <v>100</v>
      </c>
      <c r="R192">
        <v>3</v>
      </c>
      <c r="S192" t="s">
        <v>40</v>
      </c>
      <c r="T192" t="s">
        <v>40</v>
      </c>
    </row>
    <row r="193" spans="1:20">
      <c r="A193" s="139">
        <v>44441</v>
      </c>
      <c r="B193">
        <v>17</v>
      </c>
      <c r="C193" t="s">
        <v>2183</v>
      </c>
      <c r="D193">
        <v>2511.1999999999998</v>
      </c>
      <c r="H193">
        <v>171.24959999999999</v>
      </c>
      <c r="I193">
        <v>0.41376000000000002</v>
      </c>
      <c r="J193">
        <v>170.83583999999999</v>
      </c>
      <c r="K193">
        <v>1447.1795758799071</v>
      </c>
      <c r="L193">
        <v>57.629005092382414</v>
      </c>
      <c r="M193">
        <v>1423.7268297751873</v>
      </c>
      <c r="N193">
        <v>56.695079236030082</v>
      </c>
      <c r="O193">
        <v>128</v>
      </c>
      <c r="P193">
        <v>41.7</v>
      </c>
      <c r="Q193">
        <v>100</v>
      </c>
      <c r="R193">
        <v>3</v>
      </c>
      <c r="S193" t="s">
        <v>40</v>
      </c>
      <c r="T193" t="s">
        <v>40</v>
      </c>
    </row>
    <row r="194" spans="1:20">
      <c r="A194" s="139">
        <v>44441</v>
      </c>
      <c r="B194">
        <v>18</v>
      </c>
      <c r="C194" t="s">
        <v>2184</v>
      </c>
      <c r="D194">
        <v>3454.3</v>
      </c>
      <c r="H194">
        <v>261.64260000000002</v>
      </c>
      <c r="I194">
        <v>0.41376000000000002</v>
      </c>
      <c r="J194">
        <v>261.22883999999999</v>
      </c>
      <c r="K194">
        <v>2202.2970115534308</v>
      </c>
      <c r="L194">
        <v>63.755232943097894</v>
      </c>
      <c r="M194">
        <v>2177.0520062947544</v>
      </c>
      <c r="N194">
        <v>63.02440454780286</v>
      </c>
      <c r="O194">
        <v>128</v>
      </c>
      <c r="P194">
        <v>41.7</v>
      </c>
      <c r="Q194">
        <v>100</v>
      </c>
      <c r="R194">
        <v>3</v>
      </c>
      <c r="S194" t="s">
        <v>40</v>
      </c>
      <c r="T194" t="s">
        <v>40</v>
      </c>
    </row>
    <row r="195" spans="1:20">
      <c r="A195" s="139">
        <v>44441</v>
      </c>
      <c r="B195">
        <v>19</v>
      </c>
      <c r="C195" t="s">
        <v>2185</v>
      </c>
      <c r="D195">
        <v>3106.4</v>
      </c>
      <c r="H195">
        <v>263.38369999999998</v>
      </c>
      <c r="I195">
        <v>0.41376000000000002</v>
      </c>
      <c r="J195">
        <v>262.96993999999995</v>
      </c>
      <c r="K195">
        <v>2216.841666197608</v>
      </c>
      <c r="L195">
        <v>71.363690001210657</v>
      </c>
      <c r="M195">
        <v>2191.562139433805</v>
      </c>
      <c r="N195">
        <v>70.549901475463727</v>
      </c>
      <c r="O195">
        <v>128</v>
      </c>
      <c r="P195">
        <v>41.7</v>
      </c>
      <c r="Q195">
        <v>100</v>
      </c>
      <c r="R195">
        <v>3</v>
      </c>
      <c r="S195" t="s">
        <v>40</v>
      </c>
      <c r="T195" t="s">
        <v>40</v>
      </c>
    </row>
    <row r="196" spans="1:20">
      <c r="A196" s="139">
        <v>44441</v>
      </c>
      <c r="B196">
        <v>20</v>
      </c>
      <c r="C196" t="s">
        <v>2186</v>
      </c>
      <c r="D196">
        <v>3212.1</v>
      </c>
      <c r="H196">
        <v>243.3912</v>
      </c>
      <c r="I196">
        <v>0.41376000000000002</v>
      </c>
      <c r="J196">
        <v>242.97744</v>
      </c>
      <c r="K196">
        <v>2049.830002322055</v>
      </c>
      <c r="L196">
        <v>63.815883762088824</v>
      </c>
      <c r="M196">
        <v>2024.9468750707747</v>
      </c>
      <c r="N196">
        <v>63.041215250794643</v>
      </c>
      <c r="O196">
        <v>128</v>
      </c>
      <c r="P196">
        <v>41.7</v>
      </c>
      <c r="Q196">
        <v>100</v>
      </c>
      <c r="R196">
        <v>3</v>
      </c>
      <c r="S196" t="s">
        <v>40</v>
      </c>
      <c r="T196" t="s">
        <v>40</v>
      </c>
    </row>
    <row r="197" spans="1:20">
      <c r="A197" s="139">
        <v>44441</v>
      </c>
      <c r="B197">
        <v>21</v>
      </c>
      <c r="C197" t="s">
        <v>2094</v>
      </c>
      <c r="H197">
        <v>1.0038</v>
      </c>
      <c r="I197">
        <v>0.41376000000000002</v>
      </c>
      <c r="J197">
        <v>0.59004000000000001</v>
      </c>
      <c r="O197">
        <v>128</v>
      </c>
      <c r="P197">
        <v>41.7</v>
      </c>
      <c r="Q197">
        <v>100</v>
      </c>
      <c r="R197">
        <v>3</v>
      </c>
      <c r="S197" t="s">
        <v>40</v>
      </c>
      <c r="T197" t="s">
        <v>40</v>
      </c>
    </row>
    <row r="198" spans="1:20">
      <c r="A198" s="139">
        <v>44441</v>
      </c>
      <c r="B198">
        <v>22</v>
      </c>
      <c r="C198" t="s">
        <v>2187</v>
      </c>
      <c r="D198">
        <v>3549.9</v>
      </c>
      <c r="H198">
        <v>287.16989999999998</v>
      </c>
      <c r="I198">
        <v>0.41376000000000002</v>
      </c>
      <c r="J198">
        <v>286.75613999999996</v>
      </c>
      <c r="K198">
        <v>2415.5448218448105</v>
      </c>
      <c r="L198">
        <v>68.045432881061728</v>
      </c>
      <c r="M198">
        <v>2389.7936763197331</v>
      </c>
      <c r="N198">
        <v>67.320028066135194</v>
      </c>
      <c r="O198">
        <v>128</v>
      </c>
      <c r="P198">
        <v>41.7</v>
      </c>
      <c r="Q198">
        <v>100</v>
      </c>
      <c r="R198">
        <v>3</v>
      </c>
      <c r="S198" t="s">
        <v>40</v>
      </c>
      <c r="T198" t="s">
        <v>40</v>
      </c>
    </row>
    <row r="199" spans="1:20">
      <c r="A199" s="139">
        <v>44441</v>
      </c>
      <c r="B199">
        <v>23</v>
      </c>
      <c r="C199" t="s">
        <v>2188</v>
      </c>
      <c r="D199">
        <v>2973.2</v>
      </c>
      <c r="H199">
        <v>201.28579999999999</v>
      </c>
      <c r="I199">
        <v>0.41376000000000002</v>
      </c>
      <c r="J199">
        <v>200.87204</v>
      </c>
      <c r="K199">
        <v>1698.0934555097135</v>
      </c>
      <c r="L199">
        <v>57.113327576675424</v>
      </c>
      <c r="M199">
        <v>1674.045169325562</v>
      </c>
      <c r="N199">
        <v>56.304492443345964</v>
      </c>
      <c r="O199">
        <v>128</v>
      </c>
      <c r="P199">
        <v>41.7</v>
      </c>
      <c r="Q199">
        <v>100</v>
      </c>
      <c r="R199">
        <v>3</v>
      </c>
      <c r="S199" t="s">
        <v>40</v>
      </c>
      <c r="T199" t="s">
        <v>40</v>
      </c>
    </row>
    <row r="200" spans="1:20">
      <c r="A200" s="139">
        <v>44441</v>
      </c>
      <c r="B200">
        <v>24</v>
      </c>
      <c r="C200" t="s">
        <v>2189</v>
      </c>
      <c r="D200">
        <v>2521.6</v>
      </c>
      <c r="H200">
        <v>193.7191</v>
      </c>
      <c r="I200">
        <v>0.41376000000000002</v>
      </c>
      <c r="J200">
        <v>193.30534</v>
      </c>
      <c r="K200">
        <v>1634.8833938842465</v>
      </c>
      <c r="L200">
        <v>64.835159973201399</v>
      </c>
      <c r="M200">
        <v>1610.9851357701916</v>
      </c>
      <c r="N200">
        <v>63.887418138094525</v>
      </c>
      <c r="O200">
        <v>128</v>
      </c>
      <c r="P200">
        <v>41.7</v>
      </c>
      <c r="Q200">
        <v>100</v>
      </c>
      <c r="R200">
        <v>3</v>
      </c>
      <c r="S200" t="s">
        <v>40</v>
      </c>
      <c r="T200" t="s">
        <v>40</v>
      </c>
    </row>
    <row r="201" spans="1:20">
      <c r="A201" s="139">
        <v>44441</v>
      </c>
      <c r="B201">
        <v>25</v>
      </c>
      <c r="C201" t="s">
        <v>2190</v>
      </c>
      <c r="D201">
        <v>3008.7</v>
      </c>
      <c r="H201">
        <v>242.18549999999999</v>
      </c>
      <c r="I201">
        <v>0.41376000000000002</v>
      </c>
      <c r="J201">
        <v>241.77173999999999</v>
      </c>
      <c r="K201">
        <v>2039.757927137123</v>
      </c>
      <c r="L201">
        <v>67.795324463626258</v>
      </c>
      <c r="M201">
        <v>2014.8987057951706</v>
      </c>
      <c r="N201">
        <v>66.969079861573789</v>
      </c>
      <c r="O201">
        <v>128</v>
      </c>
      <c r="P201">
        <v>41.7</v>
      </c>
      <c r="Q201">
        <v>100</v>
      </c>
      <c r="R201">
        <v>3</v>
      </c>
      <c r="S201" t="s">
        <v>40</v>
      </c>
      <c r="T201" t="s">
        <v>40</v>
      </c>
    </row>
    <row r="202" spans="1:20">
      <c r="A202" s="139">
        <v>44441</v>
      </c>
      <c r="B202">
        <v>26</v>
      </c>
      <c r="C202" t="s">
        <v>2191</v>
      </c>
      <c r="D202">
        <v>2673.2</v>
      </c>
      <c r="H202">
        <v>197.67449999999999</v>
      </c>
      <c r="I202">
        <v>0.41376000000000002</v>
      </c>
      <c r="J202">
        <v>197.26074</v>
      </c>
      <c r="K202">
        <v>1667.9256815067731</v>
      </c>
      <c r="L202">
        <v>62.394346906582868</v>
      </c>
      <c r="M202">
        <v>1643.9489980516237</v>
      </c>
      <c r="N202">
        <v>61.497418750995948</v>
      </c>
      <c r="O202">
        <v>128</v>
      </c>
      <c r="P202">
        <v>41.7</v>
      </c>
      <c r="Q202">
        <v>100</v>
      </c>
      <c r="R202">
        <v>3</v>
      </c>
      <c r="S202" t="s">
        <v>40</v>
      </c>
      <c r="T202" t="s">
        <v>40</v>
      </c>
    </row>
    <row r="203" spans="1:20">
      <c r="A203" s="139">
        <v>44441</v>
      </c>
      <c r="B203">
        <v>27</v>
      </c>
      <c r="C203" t="s">
        <v>2192</v>
      </c>
      <c r="D203">
        <v>3077.9</v>
      </c>
      <c r="H203">
        <v>215.85120000000001</v>
      </c>
      <c r="I203">
        <v>0.41376000000000002</v>
      </c>
      <c r="J203">
        <v>215.43744000000001</v>
      </c>
      <c r="K203">
        <v>1819.7686681651089</v>
      </c>
      <c r="L203">
        <v>59.123709937460902</v>
      </c>
      <c r="M203">
        <v>1795.4315878101581</v>
      </c>
      <c r="N203">
        <v>58.333005874464995</v>
      </c>
      <c r="O203">
        <v>128</v>
      </c>
      <c r="P203">
        <v>41.7</v>
      </c>
      <c r="Q203">
        <v>100</v>
      </c>
      <c r="R203">
        <v>3</v>
      </c>
      <c r="S203" t="s">
        <v>40</v>
      </c>
      <c r="T203" t="s">
        <v>40</v>
      </c>
    </row>
    <row r="204" spans="1:20">
      <c r="A204" s="139">
        <v>44441</v>
      </c>
      <c r="B204">
        <v>28</v>
      </c>
      <c r="C204" t="s">
        <v>2102</v>
      </c>
      <c r="H204">
        <v>0.49590000000000001</v>
      </c>
      <c r="I204">
        <v>0.41376000000000002</v>
      </c>
      <c r="J204">
        <v>8.2139999999999991E-2</v>
      </c>
      <c r="O204">
        <v>128</v>
      </c>
      <c r="P204">
        <v>41.7</v>
      </c>
      <c r="Q204">
        <v>100</v>
      </c>
      <c r="R204">
        <v>3</v>
      </c>
      <c r="S204" t="s">
        <v>40</v>
      </c>
      <c r="T204" t="s">
        <v>40</v>
      </c>
    </row>
    <row r="205" spans="1:20">
      <c r="A205" s="139">
        <v>44441</v>
      </c>
      <c r="B205">
        <v>29</v>
      </c>
      <c r="C205" t="s">
        <v>2103</v>
      </c>
      <c r="D205">
        <v>2450.9</v>
      </c>
      <c r="G205">
        <v>2450.4098200000003</v>
      </c>
      <c r="H205">
        <v>289.47800000000001</v>
      </c>
      <c r="I205">
        <v>0.41376000000000002</v>
      </c>
      <c r="J205">
        <v>289.06423999999998</v>
      </c>
      <c r="K205">
        <v>2434.8260333686912</v>
      </c>
      <c r="L205">
        <v>99.364033456603224</v>
      </c>
      <c r="M205">
        <v>2409.0291241965028</v>
      </c>
      <c r="N205">
        <v>98.311274486995927</v>
      </c>
      <c r="O205">
        <v>128</v>
      </c>
      <c r="P205">
        <v>41.7</v>
      </c>
      <c r="Q205">
        <v>100</v>
      </c>
      <c r="R205">
        <v>3</v>
      </c>
      <c r="S205" t="s">
        <v>40</v>
      </c>
      <c r="T205" t="s">
        <v>40</v>
      </c>
    </row>
    <row r="206" spans="1:20">
      <c r="A206" s="139">
        <v>44441</v>
      </c>
      <c r="B206">
        <v>30</v>
      </c>
      <c r="C206" t="s">
        <v>2104</v>
      </c>
      <c r="H206">
        <v>1.0626</v>
      </c>
      <c r="I206">
        <v>0.41376000000000002</v>
      </c>
      <c r="J206">
        <v>0.64883999999999997</v>
      </c>
      <c r="O206">
        <v>128</v>
      </c>
      <c r="P206">
        <v>41.7</v>
      </c>
      <c r="Q206">
        <v>100</v>
      </c>
      <c r="R206">
        <v>3</v>
      </c>
      <c r="S206" t="s">
        <v>40</v>
      </c>
      <c r="T206" t="s">
        <v>40</v>
      </c>
    </row>
  </sheetData>
  <mergeCells count="6">
    <mergeCell ref="W66:W69"/>
    <mergeCell ref="K3:L3"/>
    <mergeCell ref="M3:N3"/>
    <mergeCell ref="X6:Y6"/>
    <mergeCell ref="AJ4:AJ6"/>
    <mergeCell ref="W13:W16"/>
  </mergeCells>
  <phoneticPr fontId="43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2</vt:i4>
      </vt:variant>
    </vt:vector>
  </HeadingPairs>
  <TitlesOfParts>
    <vt:vector size="19" baseType="lpstr">
      <vt:lpstr>cup photos labels</vt:lpstr>
      <vt:lpstr>prep brines</vt:lpstr>
      <vt:lpstr>Traps and Logs</vt:lpstr>
      <vt:lpstr>notes</vt:lpstr>
      <vt:lpstr>sample processing comments</vt:lpstr>
      <vt:lpstr>pH_Sal</vt:lpstr>
      <vt:lpstr>mass filt</vt:lpstr>
      <vt:lpstr>PIC weights</vt:lpstr>
      <vt:lpstr>PIC data</vt:lpstr>
      <vt:lpstr>CHN raw data</vt:lpstr>
      <vt:lpstr>BSi raw data and calculations</vt:lpstr>
      <vt:lpstr>BSi raw data repeats</vt:lpstr>
      <vt:lpstr>main</vt:lpstr>
      <vt:lpstr>report_47_flagged</vt:lpstr>
      <vt:lpstr>netcdf_format</vt:lpstr>
      <vt:lpstr>depths</vt:lpstr>
      <vt:lpstr>plots</vt:lpstr>
      <vt:lpstr>'cup photos labels'!Print_Area</vt:lpstr>
      <vt:lpstr>'prep brines'!Print_Area</vt:lpstr>
    </vt:vector>
  </TitlesOfParts>
  <Company>University of Tasmania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Cathryn Wynn-Edwards</dc:creator>
  <cp:lastModifiedBy>Cathryn Wynn-Edwards</cp:lastModifiedBy>
  <cp:lastPrinted>2021-04-29T03:22:36Z</cp:lastPrinted>
  <dcterms:created xsi:type="dcterms:W3CDTF">2018-04-15T23:35:50Z</dcterms:created>
  <dcterms:modified xsi:type="dcterms:W3CDTF">2022-06-22T02:51:02Z</dcterms:modified>
</cp:coreProperties>
</file>