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autoCompressPictures="0"/>
  <mc:AlternateContent xmlns:mc="http://schemas.openxmlformats.org/markup-compatibility/2006">
    <mc:Choice Requires="x15">
      <x15ac:absPath xmlns:x15ac="http://schemas.microsoft.com/office/spreadsheetml/2010/11/ac" url="https://universitytasmania-my.sharepoint.com/personal/cathryn_wynnedwards_utas_edu_au/Documents/sediment trap lab proc/2021_saz23/"/>
    </mc:Choice>
  </mc:AlternateContent>
  <xr:revisionPtr revIDLastSave="672" documentId="13_ncr:1_{3B1A632F-0EE3-4132-A5E7-0DEE617CC0B6}" xr6:coauthVersionLast="47" xr6:coauthVersionMax="47" xr10:uidLastSave="{DCEC866F-C7DC-446A-A5E6-4F3BB1586EEF}"/>
  <bookViews>
    <workbookView xWindow="-8840" yWindow="-21710" windowWidth="38620" windowHeight="21220" firstSheet="3" activeTab="12" xr2:uid="{00000000-000D-0000-FFFF-FFFF00000000}"/>
  </bookViews>
  <sheets>
    <sheet name="cup photo labels" sheetId="5" r:id="rId1"/>
    <sheet name="notes" sheetId="2" r:id="rId2"/>
    <sheet name="prep brines" sheetId="1" r:id="rId3"/>
    <sheet name="Schedule and logs" sheetId="6" r:id="rId4"/>
    <sheet name="sample processing comments" sheetId="7" r:id="rId5"/>
    <sheet name="mass filt" sheetId="13" r:id="rId6"/>
    <sheet name="pH_Sal" sheetId="9" r:id="rId7"/>
    <sheet name="PIC weights" sheetId="15" r:id="rId8"/>
    <sheet name="PIC data" sheetId="16" r:id="rId9"/>
    <sheet name="CHN raw data" sheetId="18" r:id="rId10"/>
    <sheet name="BSi data" sheetId="17" r:id="rId11"/>
    <sheet name="main" sheetId="8" r:id="rId12"/>
    <sheet name="report_47_flagged" sheetId="10" r:id="rId13"/>
    <sheet name="netcdf_format" sheetId="11" r:id="rId14"/>
    <sheet name="depths" sheetId="12" r:id="rId15"/>
    <sheet name="plots" sheetId="14" r:id="rId16"/>
  </sheets>
  <definedNames>
    <definedName name="_xlnm.Print_Area" localSheetId="0">'cup photo labels'!$A$1:$M$42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Z22" i="10" l="1"/>
  <c r="AY22" i="10"/>
  <c r="AW22" i="10"/>
  <c r="AU22" i="10"/>
  <c r="AS22" i="10"/>
  <c r="AQ22" i="10"/>
  <c r="AO22" i="10"/>
  <c r="AG22" i="10"/>
  <c r="AL22" i="10" s="1"/>
  <c r="AH22" i="10"/>
  <c r="AI22" i="10"/>
  <c r="AJ22" i="10"/>
  <c r="AK22" i="10"/>
  <c r="W22" i="10"/>
  <c r="X22" i="10"/>
  <c r="Y22" i="10"/>
  <c r="Z22" i="10"/>
  <c r="AA22" i="10"/>
  <c r="AB22" i="10"/>
  <c r="C7" i="12"/>
  <c r="B7" i="12"/>
  <c r="AK76" i="11"/>
  <c r="AH76" i="11"/>
  <c r="AE76" i="11"/>
  <c r="AB76" i="11"/>
  <c r="Y76" i="11"/>
  <c r="V76" i="11"/>
  <c r="S76" i="11"/>
  <c r="P76" i="11"/>
  <c r="I76" i="11"/>
  <c r="H76" i="11"/>
  <c r="C76" i="11"/>
  <c r="AK75" i="11"/>
  <c r="AH75" i="11"/>
  <c r="AE75" i="11"/>
  <c r="AB75" i="11"/>
  <c r="Y75" i="11"/>
  <c r="V75" i="11"/>
  <c r="S75" i="11"/>
  <c r="P75" i="11"/>
  <c r="I75" i="11"/>
  <c r="H75" i="11"/>
  <c r="C75" i="11"/>
  <c r="AK74" i="11"/>
  <c r="AH74" i="11"/>
  <c r="AE74" i="11"/>
  <c r="AB74" i="11"/>
  <c r="Y74" i="11"/>
  <c r="V74" i="11"/>
  <c r="S74" i="11"/>
  <c r="P74" i="11"/>
  <c r="I74" i="11"/>
  <c r="H74" i="11"/>
  <c r="C74" i="11"/>
  <c r="AK73" i="11"/>
  <c r="AH73" i="11"/>
  <c r="AE73" i="11"/>
  <c r="AB73" i="11"/>
  <c r="Y73" i="11"/>
  <c r="V73" i="11"/>
  <c r="S73" i="11"/>
  <c r="P73" i="11"/>
  <c r="I73" i="11"/>
  <c r="H73" i="11"/>
  <c r="C73" i="11"/>
  <c r="AK72" i="11"/>
  <c r="AH72" i="11"/>
  <c r="AE72" i="11"/>
  <c r="AB72" i="11"/>
  <c r="Y72" i="11"/>
  <c r="V72" i="11"/>
  <c r="S72" i="11"/>
  <c r="P72" i="11"/>
  <c r="I72" i="11"/>
  <c r="H72" i="11"/>
  <c r="C72" i="11"/>
  <c r="AK71" i="11"/>
  <c r="AH71" i="11"/>
  <c r="AE71" i="11"/>
  <c r="AB71" i="11"/>
  <c r="Y71" i="11"/>
  <c r="V71" i="11"/>
  <c r="S71" i="11"/>
  <c r="P71" i="11"/>
  <c r="I71" i="11"/>
  <c r="H71" i="11"/>
  <c r="C71" i="11"/>
  <c r="AK70" i="11"/>
  <c r="AH70" i="11"/>
  <c r="AE70" i="11"/>
  <c r="AB70" i="11"/>
  <c r="Y70" i="11"/>
  <c r="V70" i="11"/>
  <c r="S70" i="11"/>
  <c r="P70" i="11"/>
  <c r="I70" i="11"/>
  <c r="H70" i="11"/>
  <c r="C70" i="11"/>
  <c r="AK69" i="11"/>
  <c r="AH69" i="11"/>
  <c r="AE69" i="11"/>
  <c r="AB69" i="11"/>
  <c r="Y69" i="11"/>
  <c r="V69" i="11"/>
  <c r="S69" i="11"/>
  <c r="P69" i="11"/>
  <c r="I69" i="11"/>
  <c r="H69" i="11"/>
  <c r="C69" i="11"/>
  <c r="AK68" i="11"/>
  <c r="AH68" i="11"/>
  <c r="AE68" i="11"/>
  <c r="AB68" i="11"/>
  <c r="Y68" i="11"/>
  <c r="V68" i="11"/>
  <c r="S68" i="11"/>
  <c r="P68" i="11"/>
  <c r="I68" i="11"/>
  <c r="H68" i="11"/>
  <c r="C68" i="11"/>
  <c r="AK67" i="11"/>
  <c r="AH67" i="11"/>
  <c r="AE67" i="11"/>
  <c r="AB67" i="11"/>
  <c r="Y67" i="11"/>
  <c r="V67" i="11"/>
  <c r="S67" i="11"/>
  <c r="P67" i="11"/>
  <c r="I67" i="11"/>
  <c r="H67" i="11"/>
  <c r="C67" i="11"/>
  <c r="AK66" i="11"/>
  <c r="AH66" i="11"/>
  <c r="AE66" i="11"/>
  <c r="AB66" i="11"/>
  <c r="Y66" i="11"/>
  <c r="V66" i="11"/>
  <c r="S66" i="11"/>
  <c r="P66" i="11"/>
  <c r="I66" i="11"/>
  <c r="H66" i="11"/>
  <c r="C66" i="11"/>
  <c r="AK65" i="11"/>
  <c r="AH65" i="11"/>
  <c r="AE65" i="11"/>
  <c r="AB65" i="11"/>
  <c r="Y65" i="11"/>
  <c r="V65" i="11"/>
  <c r="S65" i="11"/>
  <c r="P65" i="11"/>
  <c r="I65" i="11"/>
  <c r="H65" i="11"/>
  <c r="C65" i="11"/>
  <c r="AK64" i="11"/>
  <c r="AH64" i="11"/>
  <c r="AE64" i="11"/>
  <c r="AB64" i="11"/>
  <c r="Y64" i="11"/>
  <c r="V64" i="11"/>
  <c r="S64" i="11"/>
  <c r="P64" i="11"/>
  <c r="I64" i="11"/>
  <c r="H64" i="11"/>
  <c r="C64" i="11"/>
  <c r="AK63" i="11"/>
  <c r="AH63" i="11"/>
  <c r="AE63" i="11"/>
  <c r="AB63" i="11"/>
  <c r="Y63" i="11"/>
  <c r="V63" i="11"/>
  <c r="S63" i="11"/>
  <c r="P63" i="11"/>
  <c r="I63" i="11"/>
  <c r="H63" i="11"/>
  <c r="C63" i="11"/>
  <c r="AK62" i="11"/>
  <c r="AH62" i="11"/>
  <c r="AE62" i="11"/>
  <c r="AB62" i="11"/>
  <c r="Y62" i="11"/>
  <c r="V62" i="11"/>
  <c r="S62" i="11"/>
  <c r="P62" i="11"/>
  <c r="I62" i="11"/>
  <c r="H62" i="11"/>
  <c r="C62" i="11"/>
  <c r="AK61" i="11"/>
  <c r="AH61" i="11"/>
  <c r="AE61" i="11"/>
  <c r="AB61" i="11"/>
  <c r="Y61" i="11"/>
  <c r="V61" i="11"/>
  <c r="S61" i="11"/>
  <c r="P61" i="11"/>
  <c r="I61" i="11"/>
  <c r="H61" i="11"/>
  <c r="C61" i="11"/>
  <c r="AK60" i="11"/>
  <c r="AH60" i="11"/>
  <c r="AE60" i="11"/>
  <c r="AB60" i="11"/>
  <c r="Y60" i="11"/>
  <c r="V60" i="11"/>
  <c r="S60" i="11"/>
  <c r="P60" i="11"/>
  <c r="I60" i="11"/>
  <c r="H60" i="11"/>
  <c r="C60" i="11"/>
  <c r="AK59" i="11"/>
  <c r="AH59" i="11"/>
  <c r="AE59" i="11"/>
  <c r="AB59" i="11"/>
  <c r="Y59" i="11"/>
  <c r="V59" i="11"/>
  <c r="S59" i="11"/>
  <c r="P59" i="11"/>
  <c r="I59" i="11"/>
  <c r="H59" i="11"/>
  <c r="C59" i="11"/>
  <c r="AK58" i="11"/>
  <c r="AH58" i="11"/>
  <c r="AE58" i="11"/>
  <c r="AB58" i="11"/>
  <c r="Y58" i="11"/>
  <c r="V58" i="11"/>
  <c r="S58" i="11"/>
  <c r="P58" i="11"/>
  <c r="I58" i="11"/>
  <c r="H58" i="11"/>
  <c r="C58" i="11"/>
  <c r="AK57" i="11"/>
  <c r="AH57" i="11"/>
  <c r="AE57" i="11"/>
  <c r="AB57" i="11"/>
  <c r="Y57" i="11"/>
  <c r="V57" i="11"/>
  <c r="S57" i="11"/>
  <c r="P57" i="11"/>
  <c r="I57" i="11"/>
  <c r="H57" i="11"/>
  <c r="C57" i="11"/>
  <c r="AK56" i="11"/>
  <c r="AH56" i="11"/>
  <c r="AE56" i="11"/>
  <c r="AB56" i="11"/>
  <c r="Y56" i="11"/>
  <c r="V56" i="11"/>
  <c r="S56" i="11"/>
  <c r="P56" i="11"/>
  <c r="I56" i="11"/>
  <c r="H56" i="11"/>
  <c r="C56" i="11"/>
  <c r="AK55" i="11"/>
  <c r="AH55" i="11"/>
  <c r="AE55" i="11"/>
  <c r="AB55" i="11"/>
  <c r="Y55" i="11"/>
  <c r="V55" i="11"/>
  <c r="S55" i="11"/>
  <c r="P55" i="11"/>
  <c r="I55" i="11"/>
  <c r="H55" i="11"/>
  <c r="C55" i="11"/>
  <c r="AK54" i="11"/>
  <c r="AH54" i="11"/>
  <c r="AE54" i="11"/>
  <c r="AB54" i="11"/>
  <c r="Y54" i="11"/>
  <c r="V54" i="11"/>
  <c r="S54" i="11"/>
  <c r="P54" i="11"/>
  <c r="I54" i="11"/>
  <c r="H54" i="11"/>
  <c r="C54" i="11"/>
  <c r="AK53" i="11"/>
  <c r="AH53" i="11"/>
  <c r="AE53" i="11"/>
  <c r="AB53" i="11"/>
  <c r="Y53" i="11"/>
  <c r="V53" i="11"/>
  <c r="S53" i="11"/>
  <c r="P53" i="11"/>
  <c r="I53" i="11"/>
  <c r="H53" i="11"/>
  <c r="C53" i="11"/>
  <c r="AK52" i="11"/>
  <c r="AH52" i="11"/>
  <c r="AE52" i="11"/>
  <c r="AB52" i="11"/>
  <c r="Y52" i="11"/>
  <c r="V52" i="11"/>
  <c r="S52" i="11"/>
  <c r="P52" i="11"/>
  <c r="I52" i="11"/>
  <c r="H52" i="11"/>
  <c r="C52" i="11"/>
  <c r="AK51" i="11"/>
  <c r="AH51" i="11"/>
  <c r="AE51" i="11"/>
  <c r="AB51" i="11"/>
  <c r="Y51" i="11"/>
  <c r="V51" i="11"/>
  <c r="S51" i="11"/>
  <c r="P51" i="11"/>
  <c r="I51" i="11"/>
  <c r="H51" i="11"/>
  <c r="C51" i="11"/>
  <c r="AK50" i="11"/>
  <c r="AH50" i="11"/>
  <c r="AE50" i="11"/>
  <c r="AB50" i="11"/>
  <c r="Y50" i="11"/>
  <c r="V50" i="11"/>
  <c r="S50" i="11"/>
  <c r="P50" i="11"/>
  <c r="I50" i="11"/>
  <c r="H50" i="11"/>
  <c r="C50" i="11"/>
  <c r="AK49" i="11"/>
  <c r="AH49" i="11"/>
  <c r="AE49" i="11"/>
  <c r="AB49" i="11"/>
  <c r="Y49" i="11"/>
  <c r="V49" i="11"/>
  <c r="S49" i="11"/>
  <c r="P49" i="11"/>
  <c r="I49" i="11"/>
  <c r="H49" i="11"/>
  <c r="C49" i="11"/>
  <c r="AK48" i="11"/>
  <c r="AH48" i="11"/>
  <c r="AE48" i="11"/>
  <c r="AB48" i="11"/>
  <c r="Y48" i="11"/>
  <c r="V48" i="11"/>
  <c r="S48" i="11"/>
  <c r="P48" i="11"/>
  <c r="I48" i="11"/>
  <c r="H48" i="11"/>
  <c r="C48" i="11"/>
  <c r="AK47" i="11"/>
  <c r="AH47" i="11"/>
  <c r="AE47" i="11"/>
  <c r="AB47" i="11"/>
  <c r="Y47" i="11"/>
  <c r="V47" i="11"/>
  <c r="S47" i="11"/>
  <c r="P47" i="11"/>
  <c r="I47" i="11"/>
  <c r="H47" i="11"/>
  <c r="C47" i="11"/>
  <c r="AK46" i="11"/>
  <c r="AH46" i="11"/>
  <c r="AE46" i="11"/>
  <c r="AB46" i="11"/>
  <c r="Y46" i="11"/>
  <c r="V46" i="11"/>
  <c r="S46" i="11"/>
  <c r="P46" i="11"/>
  <c r="I46" i="11"/>
  <c r="H46" i="11"/>
  <c r="C46" i="11"/>
  <c r="AK45" i="11"/>
  <c r="AH45" i="11"/>
  <c r="AE45" i="11"/>
  <c r="AB45" i="11"/>
  <c r="Y45" i="11"/>
  <c r="V45" i="11"/>
  <c r="S45" i="11"/>
  <c r="P45" i="11"/>
  <c r="I45" i="11"/>
  <c r="H45" i="11"/>
  <c r="C45" i="11"/>
  <c r="AK44" i="11"/>
  <c r="AH44" i="11"/>
  <c r="AE44" i="11"/>
  <c r="AB44" i="11"/>
  <c r="Y44" i="11"/>
  <c r="V44" i="11"/>
  <c r="S44" i="11"/>
  <c r="P44" i="11"/>
  <c r="I44" i="11"/>
  <c r="H44" i="11"/>
  <c r="C44" i="11"/>
  <c r="AK43" i="11"/>
  <c r="AH43" i="11"/>
  <c r="AE43" i="11"/>
  <c r="AB43" i="11"/>
  <c r="Y43" i="11"/>
  <c r="V43" i="11"/>
  <c r="S43" i="11"/>
  <c r="P43" i="11"/>
  <c r="I43" i="11"/>
  <c r="H43" i="11"/>
  <c r="C43" i="11"/>
  <c r="AK42" i="11"/>
  <c r="AH42" i="11"/>
  <c r="AE42" i="11"/>
  <c r="AB42" i="11"/>
  <c r="Y42" i="11"/>
  <c r="V42" i="11"/>
  <c r="S42" i="11"/>
  <c r="P42" i="11"/>
  <c r="I42" i="11"/>
  <c r="H42" i="11"/>
  <c r="C42" i="11"/>
  <c r="AK41" i="11"/>
  <c r="AH41" i="11"/>
  <c r="AE41" i="11"/>
  <c r="AB41" i="11"/>
  <c r="Y41" i="11"/>
  <c r="V41" i="11"/>
  <c r="S41" i="11"/>
  <c r="P41" i="11"/>
  <c r="I41" i="11"/>
  <c r="H41" i="11"/>
  <c r="C41" i="11"/>
  <c r="AK40" i="11"/>
  <c r="AH40" i="11"/>
  <c r="AE40" i="11"/>
  <c r="AB40" i="11"/>
  <c r="Y40" i="11"/>
  <c r="V40" i="11"/>
  <c r="S40" i="11"/>
  <c r="P40" i="11"/>
  <c r="I40" i="11"/>
  <c r="H40" i="11"/>
  <c r="C40" i="11"/>
  <c r="AK39" i="11"/>
  <c r="AH39" i="11"/>
  <c r="AE39" i="11"/>
  <c r="AB39" i="11"/>
  <c r="Y39" i="11"/>
  <c r="V39" i="11"/>
  <c r="S39" i="11"/>
  <c r="P39" i="11"/>
  <c r="I39" i="11"/>
  <c r="H39" i="11"/>
  <c r="C39" i="11"/>
  <c r="AK38" i="11"/>
  <c r="AH38" i="11"/>
  <c r="AE38" i="11"/>
  <c r="AB38" i="11"/>
  <c r="Y38" i="11"/>
  <c r="V38" i="11"/>
  <c r="S38" i="11"/>
  <c r="P38" i="11"/>
  <c r="I38" i="11"/>
  <c r="H38" i="11"/>
  <c r="C38" i="11"/>
  <c r="AK37" i="11"/>
  <c r="AH37" i="11"/>
  <c r="AE37" i="11"/>
  <c r="AB37" i="11"/>
  <c r="Y37" i="11"/>
  <c r="V37" i="11"/>
  <c r="S37" i="11"/>
  <c r="P37" i="11"/>
  <c r="I37" i="11"/>
  <c r="H37" i="11"/>
  <c r="C37" i="11"/>
  <c r="AK36" i="11"/>
  <c r="AH36" i="11"/>
  <c r="AE36" i="11"/>
  <c r="AB36" i="11"/>
  <c r="Y36" i="11"/>
  <c r="V36" i="11"/>
  <c r="S36" i="11"/>
  <c r="P36" i="11"/>
  <c r="I36" i="11"/>
  <c r="H36" i="11"/>
  <c r="C36" i="11"/>
  <c r="AK35" i="11"/>
  <c r="AH35" i="11"/>
  <c r="AE35" i="11"/>
  <c r="AB35" i="11"/>
  <c r="Y35" i="11"/>
  <c r="V35" i="11"/>
  <c r="S35" i="11"/>
  <c r="P35" i="11"/>
  <c r="I35" i="11"/>
  <c r="H35" i="11"/>
  <c r="C35" i="11"/>
  <c r="AK34" i="11"/>
  <c r="AH34" i="11"/>
  <c r="AE34" i="11"/>
  <c r="AB34" i="11"/>
  <c r="Y34" i="11"/>
  <c r="V34" i="11"/>
  <c r="S34" i="11"/>
  <c r="P34" i="11"/>
  <c r="I34" i="11"/>
  <c r="H34" i="11"/>
  <c r="C34" i="11"/>
  <c r="AK33" i="11"/>
  <c r="AH33" i="11"/>
  <c r="AE33" i="11"/>
  <c r="AB33" i="11"/>
  <c r="Y33" i="11"/>
  <c r="V33" i="11"/>
  <c r="S33" i="11"/>
  <c r="P33" i="11"/>
  <c r="I33" i="11"/>
  <c r="H33" i="11"/>
  <c r="C33" i="11"/>
  <c r="AK32" i="11"/>
  <c r="AH32" i="11"/>
  <c r="AE32" i="11"/>
  <c r="AB32" i="11"/>
  <c r="Y32" i="11"/>
  <c r="V32" i="11"/>
  <c r="S32" i="11"/>
  <c r="P32" i="11"/>
  <c r="I32" i="11"/>
  <c r="H32" i="11"/>
  <c r="C32" i="11"/>
  <c r="AK31" i="11"/>
  <c r="AH31" i="11"/>
  <c r="AE31" i="11"/>
  <c r="AB31" i="11"/>
  <c r="Y31" i="11"/>
  <c r="V31" i="11"/>
  <c r="S31" i="11"/>
  <c r="P31" i="11"/>
  <c r="I31" i="11"/>
  <c r="H31" i="11"/>
  <c r="C31" i="11"/>
  <c r="AK30" i="11"/>
  <c r="AH30" i="11"/>
  <c r="AE30" i="11"/>
  <c r="AB30" i="11"/>
  <c r="Y30" i="11"/>
  <c r="V30" i="11"/>
  <c r="S30" i="11"/>
  <c r="P30" i="11"/>
  <c r="I30" i="11"/>
  <c r="H30" i="11"/>
  <c r="C30" i="11"/>
  <c r="AK29" i="11"/>
  <c r="AH29" i="11"/>
  <c r="AE29" i="11"/>
  <c r="AB29" i="11"/>
  <c r="Y29" i="11"/>
  <c r="V29" i="11"/>
  <c r="S29" i="11"/>
  <c r="P29" i="11"/>
  <c r="I29" i="11"/>
  <c r="H29" i="11"/>
  <c r="C29" i="11"/>
  <c r="AK28" i="11"/>
  <c r="AH28" i="11"/>
  <c r="AE28" i="11"/>
  <c r="AB28" i="11"/>
  <c r="Y28" i="11"/>
  <c r="V28" i="11"/>
  <c r="S28" i="11"/>
  <c r="P28" i="11"/>
  <c r="I28" i="11"/>
  <c r="H28" i="11"/>
  <c r="C28" i="11"/>
  <c r="AK27" i="11"/>
  <c r="AH27" i="11"/>
  <c r="AE27" i="11"/>
  <c r="AB27" i="11"/>
  <c r="Y27" i="11"/>
  <c r="V27" i="11"/>
  <c r="S27" i="11"/>
  <c r="P27" i="11"/>
  <c r="I27" i="11"/>
  <c r="H27" i="11"/>
  <c r="C27" i="11"/>
  <c r="AK26" i="11"/>
  <c r="AH26" i="11"/>
  <c r="AE26" i="11"/>
  <c r="AB26" i="11"/>
  <c r="Y26" i="11"/>
  <c r="V26" i="11"/>
  <c r="S26" i="11"/>
  <c r="P26" i="11"/>
  <c r="I26" i="11"/>
  <c r="H26" i="11"/>
  <c r="C26" i="11"/>
  <c r="AK25" i="11"/>
  <c r="AH25" i="11"/>
  <c r="AE25" i="11"/>
  <c r="AB25" i="11"/>
  <c r="Y25" i="11"/>
  <c r="V25" i="11"/>
  <c r="S25" i="11"/>
  <c r="P25" i="11"/>
  <c r="I25" i="11"/>
  <c r="H25" i="11"/>
  <c r="C25" i="11"/>
  <c r="AK24" i="11"/>
  <c r="AH24" i="11"/>
  <c r="AE24" i="11"/>
  <c r="AB24" i="11"/>
  <c r="Y24" i="11"/>
  <c r="V24" i="11"/>
  <c r="S24" i="11"/>
  <c r="P24" i="11"/>
  <c r="I24" i="11"/>
  <c r="H24" i="11"/>
  <c r="C24" i="11"/>
  <c r="AK23" i="11"/>
  <c r="AH23" i="11"/>
  <c r="AE23" i="11"/>
  <c r="AB23" i="11"/>
  <c r="Y23" i="11"/>
  <c r="V23" i="11"/>
  <c r="S23" i="11"/>
  <c r="P23" i="11"/>
  <c r="I23" i="11"/>
  <c r="H23" i="11"/>
  <c r="C23" i="11"/>
  <c r="AK22" i="11"/>
  <c r="AH22" i="11"/>
  <c r="AE22" i="11"/>
  <c r="AB22" i="11"/>
  <c r="Y22" i="11"/>
  <c r="V22" i="11"/>
  <c r="S22" i="11"/>
  <c r="P22" i="11"/>
  <c r="I22" i="11"/>
  <c r="H22" i="11"/>
  <c r="C22" i="11"/>
  <c r="AK21" i="11"/>
  <c r="AH21" i="11"/>
  <c r="AE21" i="11"/>
  <c r="AB21" i="11"/>
  <c r="Y21" i="11"/>
  <c r="V21" i="11"/>
  <c r="S21" i="11"/>
  <c r="P21" i="11"/>
  <c r="I21" i="11"/>
  <c r="H21" i="11"/>
  <c r="C21" i="11"/>
  <c r="AK20" i="11"/>
  <c r="AH20" i="11"/>
  <c r="AE20" i="11"/>
  <c r="AB20" i="11"/>
  <c r="Y20" i="11"/>
  <c r="V20" i="11"/>
  <c r="S20" i="11"/>
  <c r="P20" i="11"/>
  <c r="I20" i="11"/>
  <c r="H20" i="11"/>
  <c r="C20" i="11"/>
  <c r="AK19" i="11"/>
  <c r="AH19" i="11"/>
  <c r="AE19" i="11"/>
  <c r="AB19" i="11"/>
  <c r="Y19" i="11"/>
  <c r="V19" i="11"/>
  <c r="S19" i="11"/>
  <c r="P19" i="11"/>
  <c r="I19" i="11"/>
  <c r="H19" i="11"/>
  <c r="C19" i="11"/>
  <c r="AK18" i="11"/>
  <c r="AH18" i="11"/>
  <c r="AE18" i="11"/>
  <c r="AB18" i="11"/>
  <c r="Y18" i="11"/>
  <c r="V18" i="11"/>
  <c r="S18" i="11"/>
  <c r="P18" i="11"/>
  <c r="I18" i="11"/>
  <c r="H18" i="11"/>
  <c r="C18" i="11"/>
  <c r="AK17" i="11"/>
  <c r="AH17" i="11"/>
  <c r="AE17" i="11"/>
  <c r="AB17" i="11"/>
  <c r="Y17" i="11"/>
  <c r="V17" i="11"/>
  <c r="S17" i="11"/>
  <c r="P17" i="11"/>
  <c r="I17" i="11"/>
  <c r="H17" i="11"/>
  <c r="C17" i="11"/>
  <c r="AK16" i="11"/>
  <c r="AH16" i="11"/>
  <c r="AE16" i="11"/>
  <c r="AB16" i="11"/>
  <c r="Y16" i="11"/>
  <c r="V16" i="11"/>
  <c r="S16" i="11"/>
  <c r="P16" i="11"/>
  <c r="I16" i="11"/>
  <c r="H16" i="11"/>
  <c r="C16" i="11"/>
  <c r="AK15" i="11"/>
  <c r="AH15" i="11"/>
  <c r="AE15" i="11"/>
  <c r="AB15" i="11"/>
  <c r="Y15" i="11"/>
  <c r="V15" i="11"/>
  <c r="S15" i="11"/>
  <c r="P15" i="11"/>
  <c r="I15" i="11"/>
  <c r="H15" i="11"/>
  <c r="C15" i="11"/>
  <c r="AK14" i="11"/>
  <c r="AH14" i="11"/>
  <c r="AE14" i="11"/>
  <c r="AB14" i="11"/>
  <c r="Y14" i="11"/>
  <c r="V14" i="11"/>
  <c r="S14" i="11"/>
  <c r="P14" i="11"/>
  <c r="I14" i="11"/>
  <c r="H14" i="11"/>
  <c r="C14" i="11"/>
  <c r="AM68" i="10"/>
  <c r="D76" i="11" s="1"/>
  <c r="AM67" i="10"/>
  <c r="D75" i="11" s="1"/>
  <c r="AM66" i="10"/>
  <c r="D74" i="11" s="1"/>
  <c r="AM65" i="10"/>
  <c r="D73" i="11" s="1"/>
  <c r="AM64" i="10"/>
  <c r="D72" i="11" s="1"/>
  <c r="AM63" i="10"/>
  <c r="D71" i="11" s="1"/>
  <c r="AM62" i="10"/>
  <c r="D70" i="11" s="1"/>
  <c r="AM61" i="10"/>
  <c r="D69" i="11" s="1"/>
  <c r="AM60" i="10"/>
  <c r="D68" i="11" s="1"/>
  <c r="AM59" i="10"/>
  <c r="D67" i="11" s="1"/>
  <c r="AM58" i="10"/>
  <c r="D66" i="11" s="1"/>
  <c r="AM57" i="10"/>
  <c r="D65" i="11" s="1"/>
  <c r="AM56" i="10"/>
  <c r="D64" i="11" s="1"/>
  <c r="AM55" i="10"/>
  <c r="D63" i="11" s="1"/>
  <c r="AM54" i="10"/>
  <c r="D62" i="11" s="1"/>
  <c r="AM53" i="10"/>
  <c r="D61" i="11" s="1"/>
  <c r="AM52" i="10"/>
  <c r="D60" i="11" s="1"/>
  <c r="AM51" i="10"/>
  <c r="D59" i="11" s="1"/>
  <c r="AM50" i="10"/>
  <c r="D58" i="11" s="1"/>
  <c r="AM49" i="10"/>
  <c r="D57" i="11" s="1"/>
  <c r="AM48" i="10"/>
  <c r="D56" i="11" s="1"/>
  <c r="AM47" i="10"/>
  <c r="D55" i="11" s="1"/>
  <c r="AM46" i="10"/>
  <c r="D54" i="11" s="1"/>
  <c r="AM45" i="10"/>
  <c r="D53" i="11" s="1"/>
  <c r="AM44" i="10"/>
  <c r="D52" i="11" s="1"/>
  <c r="AM43" i="10"/>
  <c r="D51" i="11" s="1"/>
  <c r="AM42" i="10"/>
  <c r="D50" i="11" s="1"/>
  <c r="AM41" i="10"/>
  <c r="D49" i="11" s="1"/>
  <c r="AM40" i="10"/>
  <c r="D48" i="11" s="1"/>
  <c r="AM39" i="10"/>
  <c r="D47" i="11" s="1"/>
  <c r="AM38" i="10"/>
  <c r="D46" i="11" s="1"/>
  <c r="AM37" i="10"/>
  <c r="D45" i="11" s="1"/>
  <c r="AM36" i="10"/>
  <c r="D44" i="11" s="1"/>
  <c r="AM35" i="10"/>
  <c r="D43" i="11" s="1"/>
  <c r="AM34" i="10"/>
  <c r="D42" i="11" s="1"/>
  <c r="AM33" i="10"/>
  <c r="D41" i="11" s="1"/>
  <c r="AM32" i="10"/>
  <c r="D40" i="11" s="1"/>
  <c r="AM31" i="10"/>
  <c r="D39" i="11" s="1"/>
  <c r="AM30" i="10"/>
  <c r="D38" i="11" s="1"/>
  <c r="AM29" i="10"/>
  <c r="D37" i="11" s="1"/>
  <c r="AM28" i="10"/>
  <c r="D36" i="11" s="1"/>
  <c r="AM27" i="10"/>
  <c r="D35" i="11" s="1"/>
  <c r="AM26" i="10"/>
  <c r="D34" i="11" s="1"/>
  <c r="AM25" i="10"/>
  <c r="D33" i="11" s="1"/>
  <c r="AM24" i="10"/>
  <c r="D32" i="11" s="1"/>
  <c r="AM23" i="10"/>
  <c r="D31" i="11" s="1"/>
  <c r="AM22" i="10"/>
  <c r="D30" i="11" s="1"/>
  <c r="AM21" i="10"/>
  <c r="D29" i="11" s="1"/>
  <c r="AM20" i="10"/>
  <c r="D28" i="11" s="1"/>
  <c r="AM19" i="10"/>
  <c r="D27" i="11" s="1"/>
  <c r="AM18" i="10"/>
  <c r="D26" i="11" s="1"/>
  <c r="AM17" i="10"/>
  <c r="D25" i="11" s="1"/>
  <c r="AM16" i="10"/>
  <c r="D24" i="11" s="1"/>
  <c r="AM15" i="10"/>
  <c r="D23" i="11" s="1"/>
  <c r="AM14" i="10"/>
  <c r="D22" i="11" s="1"/>
  <c r="AM13" i="10"/>
  <c r="D21" i="11" s="1"/>
  <c r="AM12" i="10"/>
  <c r="D20" i="11" s="1"/>
  <c r="AM11" i="10"/>
  <c r="D19" i="11" s="1"/>
  <c r="AM10" i="10"/>
  <c r="D18" i="11" s="1"/>
  <c r="AM9" i="10"/>
  <c r="D17" i="11" s="1"/>
  <c r="AM8" i="10"/>
  <c r="D16" i="11" s="1"/>
  <c r="AM7" i="10"/>
  <c r="D15" i="11" s="1"/>
  <c r="AM6" i="10"/>
  <c r="D14" i="11" s="1"/>
  <c r="F86" i="8"/>
  <c r="D86" i="8" s="1"/>
  <c r="D84" i="8"/>
  <c r="D83" i="8"/>
  <c r="D82" i="8"/>
  <c r="D81" i="8"/>
  <c r="D80" i="8"/>
  <c r="A76" i="8"/>
  <c r="U75" i="8"/>
  <c r="AD68" i="10" s="1"/>
  <c r="K76" i="11" s="1"/>
  <c r="T75" i="8"/>
  <c r="AC68" i="10" s="1"/>
  <c r="J76" i="11" s="1"/>
  <c r="S75" i="8"/>
  <c r="BC68" i="10" s="1"/>
  <c r="T76" i="11" s="1"/>
  <c r="U76" i="11" s="1"/>
  <c r="R75" i="8"/>
  <c r="BA68" i="10" s="1"/>
  <c r="Q76" i="11" s="1"/>
  <c r="R76" i="11" s="1"/>
  <c r="O75" i="8"/>
  <c r="P68" i="10" s="1"/>
  <c r="N75" i="8"/>
  <c r="M75" i="8"/>
  <c r="N68" i="10" s="1"/>
  <c r="G75" i="8"/>
  <c r="D75" i="8"/>
  <c r="C75" i="8"/>
  <c r="B75" i="8"/>
  <c r="B68" i="10" s="1"/>
  <c r="B76" i="11" s="1"/>
  <c r="A75" i="8"/>
  <c r="A68" i="10" s="1"/>
  <c r="U74" i="8"/>
  <c r="AD67" i="10" s="1"/>
  <c r="K75" i="11" s="1"/>
  <c r="T74" i="8"/>
  <c r="AC67" i="10" s="1"/>
  <c r="J75" i="11" s="1"/>
  <c r="S74" i="8"/>
  <c r="BC67" i="10" s="1"/>
  <c r="T75" i="11" s="1"/>
  <c r="U75" i="11" s="1"/>
  <c r="R74" i="8"/>
  <c r="BA67" i="10" s="1"/>
  <c r="Q75" i="11" s="1"/>
  <c r="R75" i="11" s="1"/>
  <c r="O74" i="8"/>
  <c r="P67" i="10" s="1"/>
  <c r="N74" i="8"/>
  <c r="M74" i="8"/>
  <c r="N67" i="10" s="1"/>
  <c r="G74" i="8"/>
  <c r="D74" i="8"/>
  <c r="C74" i="8"/>
  <c r="B74" i="8"/>
  <c r="B67" i="10" s="1"/>
  <c r="B75" i="11" s="1"/>
  <c r="A74" i="8"/>
  <c r="A67" i="10" s="1"/>
  <c r="U73" i="8"/>
  <c r="AD66" i="10" s="1"/>
  <c r="K74" i="11" s="1"/>
  <c r="T73" i="8"/>
  <c r="AC66" i="10" s="1"/>
  <c r="J74" i="11" s="1"/>
  <c r="S73" i="8"/>
  <c r="BC66" i="10" s="1"/>
  <c r="T74" i="11" s="1"/>
  <c r="U74" i="11" s="1"/>
  <c r="R73" i="8"/>
  <c r="BA66" i="10" s="1"/>
  <c r="Q74" i="11" s="1"/>
  <c r="R74" i="11" s="1"/>
  <c r="O73" i="8"/>
  <c r="P66" i="10" s="1"/>
  <c r="N73" i="8"/>
  <c r="M73" i="8"/>
  <c r="N66" i="10" s="1"/>
  <c r="H73" i="8"/>
  <c r="AF66" i="10" s="1"/>
  <c r="M74" i="11" s="1"/>
  <c r="G73" i="8"/>
  <c r="D73" i="8"/>
  <c r="C73" i="8"/>
  <c r="B73" i="8"/>
  <c r="B66" i="10" s="1"/>
  <c r="B74" i="11" s="1"/>
  <c r="A73" i="8"/>
  <c r="A66" i="10" s="1"/>
  <c r="U72" i="8"/>
  <c r="T72" i="8"/>
  <c r="AC65" i="10" s="1"/>
  <c r="J73" i="11" s="1"/>
  <c r="S72" i="8"/>
  <c r="BC65" i="10" s="1"/>
  <c r="T73" i="11" s="1"/>
  <c r="U73" i="11" s="1"/>
  <c r="R72" i="8"/>
  <c r="BA65" i="10" s="1"/>
  <c r="Q73" i="11" s="1"/>
  <c r="R73" i="11" s="1"/>
  <c r="O72" i="8"/>
  <c r="P65" i="10" s="1"/>
  <c r="N72" i="8"/>
  <c r="M72" i="8"/>
  <c r="N65" i="10" s="1"/>
  <c r="G72" i="8"/>
  <c r="D72" i="8"/>
  <c r="C72" i="8"/>
  <c r="B72" i="8"/>
  <c r="B65" i="10" s="1"/>
  <c r="B73" i="11" s="1"/>
  <c r="A72" i="8"/>
  <c r="A65" i="10" s="1"/>
  <c r="U71" i="8"/>
  <c r="T71" i="8"/>
  <c r="AC64" i="10" s="1"/>
  <c r="J72" i="11" s="1"/>
  <c r="S71" i="8"/>
  <c r="BC64" i="10" s="1"/>
  <c r="T72" i="11" s="1"/>
  <c r="U72" i="11" s="1"/>
  <c r="R71" i="8"/>
  <c r="BA64" i="10" s="1"/>
  <c r="Q72" i="11" s="1"/>
  <c r="R72" i="11" s="1"/>
  <c r="O71" i="8"/>
  <c r="P64" i="10" s="1"/>
  <c r="N71" i="8"/>
  <c r="M71" i="8"/>
  <c r="N64" i="10" s="1"/>
  <c r="G71" i="8"/>
  <c r="D71" i="8"/>
  <c r="C71" i="8"/>
  <c r="B71" i="8"/>
  <c r="B64" i="10" s="1"/>
  <c r="B72" i="11" s="1"/>
  <c r="A71" i="8"/>
  <c r="A64" i="10" s="1"/>
  <c r="U70" i="8"/>
  <c r="T70" i="8"/>
  <c r="AC63" i="10" s="1"/>
  <c r="J71" i="11" s="1"/>
  <c r="S70" i="8"/>
  <c r="BC63" i="10" s="1"/>
  <c r="T71" i="11" s="1"/>
  <c r="U71" i="11" s="1"/>
  <c r="R70" i="8"/>
  <c r="BA63" i="10" s="1"/>
  <c r="Q71" i="11" s="1"/>
  <c r="R71" i="11" s="1"/>
  <c r="O70" i="8"/>
  <c r="P63" i="10" s="1"/>
  <c r="N70" i="8"/>
  <c r="M70" i="8"/>
  <c r="N63" i="10" s="1"/>
  <c r="G70" i="8"/>
  <c r="D70" i="8"/>
  <c r="C70" i="8"/>
  <c r="B70" i="8"/>
  <c r="B63" i="10" s="1"/>
  <c r="B71" i="11" s="1"/>
  <c r="A70" i="8"/>
  <c r="A63" i="10" s="1"/>
  <c r="U69" i="8"/>
  <c r="T69" i="8"/>
  <c r="AC62" i="10" s="1"/>
  <c r="J70" i="11" s="1"/>
  <c r="S69" i="8"/>
  <c r="BC62" i="10" s="1"/>
  <c r="T70" i="11" s="1"/>
  <c r="U70" i="11" s="1"/>
  <c r="R69" i="8"/>
  <c r="BA62" i="10" s="1"/>
  <c r="Q70" i="11" s="1"/>
  <c r="R70" i="11" s="1"/>
  <c r="O69" i="8"/>
  <c r="P62" i="10" s="1"/>
  <c r="N69" i="8"/>
  <c r="M69" i="8"/>
  <c r="N62" i="10" s="1"/>
  <c r="G69" i="8"/>
  <c r="D69" i="8"/>
  <c r="C69" i="8"/>
  <c r="B69" i="8"/>
  <c r="B62" i="10" s="1"/>
  <c r="B70" i="11" s="1"/>
  <c r="A69" i="8"/>
  <c r="A62" i="10" s="1"/>
  <c r="U68" i="8"/>
  <c r="T68" i="8"/>
  <c r="AC61" i="10" s="1"/>
  <c r="J69" i="11" s="1"/>
  <c r="S68" i="8"/>
  <c r="BC61" i="10" s="1"/>
  <c r="T69" i="11" s="1"/>
  <c r="U69" i="11" s="1"/>
  <c r="R68" i="8"/>
  <c r="BA61" i="10" s="1"/>
  <c r="Q69" i="11" s="1"/>
  <c r="R69" i="11" s="1"/>
  <c r="O68" i="8"/>
  <c r="P61" i="10" s="1"/>
  <c r="N68" i="8"/>
  <c r="M68" i="8"/>
  <c r="N61" i="10" s="1"/>
  <c r="G68" i="8"/>
  <c r="D68" i="8"/>
  <c r="C68" i="8"/>
  <c r="B68" i="8"/>
  <c r="B61" i="10" s="1"/>
  <c r="B69" i="11" s="1"/>
  <c r="A68" i="8"/>
  <c r="A61" i="10" s="1"/>
  <c r="AF67" i="8"/>
  <c r="U67" i="8"/>
  <c r="T67" i="8"/>
  <c r="AC60" i="10" s="1"/>
  <c r="J68" i="11" s="1"/>
  <c r="S67" i="8"/>
  <c r="BC60" i="10" s="1"/>
  <c r="T68" i="11" s="1"/>
  <c r="U68" i="11" s="1"/>
  <c r="R67" i="8"/>
  <c r="BA60" i="10" s="1"/>
  <c r="Q68" i="11" s="1"/>
  <c r="R68" i="11" s="1"/>
  <c r="O67" i="8"/>
  <c r="P60" i="10" s="1"/>
  <c r="N67" i="8"/>
  <c r="M67" i="8"/>
  <c r="N60" i="10" s="1"/>
  <c r="G67" i="8"/>
  <c r="D67" i="8"/>
  <c r="C67" i="8"/>
  <c r="B67" i="8"/>
  <c r="B60" i="10" s="1"/>
  <c r="B68" i="11" s="1"/>
  <c r="A67" i="8"/>
  <c r="A60" i="10" s="1"/>
  <c r="U66" i="8"/>
  <c r="T66" i="8"/>
  <c r="AC59" i="10" s="1"/>
  <c r="J67" i="11" s="1"/>
  <c r="S66" i="8"/>
  <c r="BC59" i="10" s="1"/>
  <c r="T67" i="11" s="1"/>
  <c r="U67" i="11" s="1"/>
  <c r="R66" i="8"/>
  <c r="BA59" i="10" s="1"/>
  <c r="Q67" i="11" s="1"/>
  <c r="R67" i="11" s="1"/>
  <c r="O66" i="8"/>
  <c r="P59" i="10" s="1"/>
  <c r="N66" i="8"/>
  <c r="M66" i="8"/>
  <c r="N59" i="10" s="1"/>
  <c r="G66" i="8"/>
  <c r="D66" i="8"/>
  <c r="C66" i="8"/>
  <c r="B66" i="8"/>
  <c r="B59" i="10" s="1"/>
  <c r="B67" i="11" s="1"/>
  <c r="A66" i="8"/>
  <c r="A59" i="10" s="1"/>
  <c r="U65" i="8"/>
  <c r="T65" i="8"/>
  <c r="AC58" i="10" s="1"/>
  <c r="J66" i="11" s="1"/>
  <c r="S65" i="8"/>
  <c r="BC58" i="10" s="1"/>
  <c r="T66" i="11" s="1"/>
  <c r="U66" i="11" s="1"/>
  <c r="R65" i="8"/>
  <c r="BA58" i="10" s="1"/>
  <c r="Q66" i="11" s="1"/>
  <c r="R66" i="11" s="1"/>
  <c r="O65" i="8"/>
  <c r="P58" i="10" s="1"/>
  <c r="N65" i="8"/>
  <c r="M65" i="8"/>
  <c r="N58" i="10" s="1"/>
  <c r="G65" i="8"/>
  <c r="D65" i="8"/>
  <c r="C65" i="8"/>
  <c r="B65" i="8"/>
  <c r="B58" i="10" s="1"/>
  <c r="B66" i="11" s="1"/>
  <c r="A65" i="8"/>
  <c r="A58" i="10" s="1"/>
  <c r="AF64" i="8"/>
  <c r="U64" i="8"/>
  <c r="T64" i="8"/>
  <c r="AC57" i="10" s="1"/>
  <c r="J65" i="11" s="1"/>
  <c r="S64" i="8"/>
  <c r="BC57" i="10" s="1"/>
  <c r="T65" i="11" s="1"/>
  <c r="U65" i="11" s="1"/>
  <c r="R64" i="8"/>
  <c r="BA57" i="10" s="1"/>
  <c r="Q65" i="11" s="1"/>
  <c r="R65" i="11" s="1"/>
  <c r="O64" i="8"/>
  <c r="P57" i="10" s="1"/>
  <c r="N64" i="8"/>
  <c r="M64" i="8"/>
  <c r="N57" i="10" s="1"/>
  <c r="G64" i="8"/>
  <c r="D64" i="8"/>
  <c r="C64" i="8"/>
  <c r="B64" i="8"/>
  <c r="B57" i="10" s="1"/>
  <c r="B65" i="11" s="1"/>
  <c r="A64" i="8"/>
  <c r="A57" i="10" s="1"/>
  <c r="U63" i="8"/>
  <c r="T63" i="8"/>
  <c r="AC56" i="10" s="1"/>
  <c r="J64" i="11" s="1"/>
  <c r="S63" i="8"/>
  <c r="BC56" i="10" s="1"/>
  <c r="T64" i="11" s="1"/>
  <c r="U64" i="11" s="1"/>
  <c r="R63" i="8"/>
  <c r="BA56" i="10" s="1"/>
  <c r="Q64" i="11" s="1"/>
  <c r="R64" i="11" s="1"/>
  <c r="O63" i="8"/>
  <c r="P56" i="10" s="1"/>
  <c r="N63" i="8"/>
  <c r="M63" i="8"/>
  <c r="N56" i="10" s="1"/>
  <c r="G63" i="8"/>
  <c r="D63" i="8"/>
  <c r="C63" i="8"/>
  <c r="B63" i="8"/>
  <c r="B56" i="10" s="1"/>
  <c r="B64" i="11" s="1"/>
  <c r="A63" i="8"/>
  <c r="A56" i="10" s="1"/>
  <c r="U62" i="8"/>
  <c r="T62" i="8"/>
  <c r="AC55" i="10" s="1"/>
  <c r="J63" i="11" s="1"/>
  <c r="S62" i="8"/>
  <c r="BC55" i="10" s="1"/>
  <c r="T63" i="11" s="1"/>
  <c r="U63" i="11" s="1"/>
  <c r="R62" i="8"/>
  <c r="BA55" i="10" s="1"/>
  <c r="Q63" i="11" s="1"/>
  <c r="R63" i="11" s="1"/>
  <c r="O62" i="8"/>
  <c r="P55" i="10" s="1"/>
  <c r="N62" i="8"/>
  <c r="M62" i="8"/>
  <c r="N55" i="10" s="1"/>
  <c r="G62" i="8"/>
  <c r="D62" i="8"/>
  <c r="C62" i="8"/>
  <c r="B62" i="8"/>
  <c r="B55" i="10" s="1"/>
  <c r="B63" i="11" s="1"/>
  <c r="A62" i="8"/>
  <c r="A55" i="10" s="1"/>
  <c r="U61" i="8"/>
  <c r="AD54" i="10" s="1"/>
  <c r="K62" i="11" s="1"/>
  <c r="T61" i="8"/>
  <c r="AC54" i="10" s="1"/>
  <c r="J62" i="11" s="1"/>
  <c r="S61" i="8"/>
  <c r="BC54" i="10" s="1"/>
  <c r="T62" i="11" s="1"/>
  <c r="U62" i="11" s="1"/>
  <c r="R61" i="8"/>
  <c r="BA54" i="10" s="1"/>
  <c r="Q62" i="11" s="1"/>
  <c r="R62" i="11" s="1"/>
  <c r="O61" i="8"/>
  <c r="P54" i="10" s="1"/>
  <c r="N61" i="8"/>
  <c r="M61" i="8"/>
  <c r="N54" i="10" s="1"/>
  <c r="H61" i="8"/>
  <c r="AF54" i="10" s="1"/>
  <c r="M62" i="11" s="1"/>
  <c r="G61" i="8"/>
  <c r="D61" i="8"/>
  <c r="C61" i="8"/>
  <c r="B61" i="8"/>
  <c r="B54" i="10" s="1"/>
  <c r="B62" i="11" s="1"/>
  <c r="A61" i="8"/>
  <c r="A54" i="10" s="1"/>
  <c r="AF60" i="8"/>
  <c r="V60" i="8"/>
  <c r="AE53" i="10" s="1"/>
  <c r="L61" i="11" s="1"/>
  <c r="U60" i="8"/>
  <c r="T60" i="8"/>
  <c r="AC53" i="10" s="1"/>
  <c r="J61" i="11" s="1"/>
  <c r="S60" i="8"/>
  <c r="BC53" i="10" s="1"/>
  <c r="T61" i="11" s="1"/>
  <c r="U61" i="11" s="1"/>
  <c r="R60" i="8"/>
  <c r="BA53" i="10" s="1"/>
  <c r="Q61" i="11" s="1"/>
  <c r="R61" i="11" s="1"/>
  <c r="O60" i="8"/>
  <c r="P53" i="10" s="1"/>
  <c r="N60" i="8"/>
  <c r="M60" i="8"/>
  <c r="N53" i="10" s="1"/>
  <c r="G60" i="8"/>
  <c r="D60" i="8"/>
  <c r="C60" i="8"/>
  <c r="B60" i="8"/>
  <c r="B53" i="10" s="1"/>
  <c r="B61" i="11" s="1"/>
  <c r="A60" i="8"/>
  <c r="A53" i="10" s="1"/>
  <c r="U59" i="8"/>
  <c r="T59" i="8"/>
  <c r="AC52" i="10" s="1"/>
  <c r="J60" i="11" s="1"/>
  <c r="S59" i="8"/>
  <c r="BC52" i="10" s="1"/>
  <c r="T60" i="11" s="1"/>
  <c r="U60" i="11" s="1"/>
  <c r="R59" i="8"/>
  <c r="BA52" i="10" s="1"/>
  <c r="Q60" i="11" s="1"/>
  <c r="R60" i="11" s="1"/>
  <c r="O59" i="8"/>
  <c r="P52" i="10" s="1"/>
  <c r="N59" i="8"/>
  <c r="M59" i="8"/>
  <c r="G59" i="8"/>
  <c r="D59" i="8"/>
  <c r="C59" i="8"/>
  <c r="B59" i="8"/>
  <c r="B52" i="10" s="1"/>
  <c r="B60" i="11" s="1"/>
  <c r="A59" i="8"/>
  <c r="A52" i="10" s="1"/>
  <c r="U58" i="8"/>
  <c r="T58" i="8"/>
  <c r="AC51" i="10" s="1"/>
  <c r="J59" i="11" s="1"/>
  <c r="S58" i="8"/>
  <c r="BC51" i="10" s="1"/>
  <c r="T59" i="11" s="1"/>
  <c r="U59" i="11" s="1"/>
  <c r="R58" i="8"/>
  <c r="BA51" i="10" s="1"/>
  <c r="Q59" i="11" s="1"/>
  <c r="R59" i="11" s="1"/>
  <c r="O58" i="8"/>
  <c r="P51" i="10" s="1"/>
  <c r="N58" i="8"/>
  <c r="M58" i="8"/>
  <c r="N51" i="10" s="1"/>
  <c r="G58" i="8"/>
  <c r="D58" i="8"/>
  <c r="C58" i="8"/>
  <c r="B58" i="8"/>
  <c r="B51" i="10" s="1"/>
  <c r="B59" i="11" s="1"/>
  <c r="A58" i="8"/>
  <c r="A51" i="10" s="1"/>
  <c r="U57" i="8"/>
  <c r="AD50" i="10" s="1"/>
  <c r="K58" i="11" s="1"/>
  <c r="T57" i="8"/>
  <c r="S57" i="8"/>
  <c r="BC50" i="10" s="1"/>
  <c r="T58" i="11" s="1"/>
  <c r="U58" i="11" s="1"/>
  <c r="R57" i="8"/>
  <c r="BA50" i="10" s="1"/>
  <c r="Q58" i="11" s="1"/>
  <c r="R58" i="11" s="1"/>
  <c r="O57" i="8"/>
  <c r="P50" i="10" s="1"/>
  <c r="N57" i="8"/>
  <c r="M57" i="8"/>
  <c r="N50" i="10" s="1"/>
  <c r="G57" i="8"/>
  <c r="D57" i="8"/>
  <c r="C57" i="8"/>
  <c r="B57" i="8"/>
  <c r="B50" i="10" s="1"/>
  <c r="B58" i="11" s="1"/>
  <c r="A57" i="8"/>
  <c r="A50" i="10" s="1"/>
  <c r="V56" i="8"/>
  <c r="AE49" i="10" s="1"/>
  <c r="L57" i="11" s="1"/>
  <c r="U56" i="8"/>
  <c r="T56" i="8"/>
  <c r="AC49" i="10" s="1"/>
  <c r="J57" i="11" s="1"/>
  <c r="S56" i="8"/>
  <c r="BC49" i="10" s="1"/>
  <c r="T57" i="11" s="1"/>
  <c r="U57" i="11" s="1"/>
  <c r="R56" i="8"/>
  <c r="BA49" i="10" s="1"/>
  <c r="Q57" i="11" s="1"/>
  <c r="R57" i="11" s="1"/>
  <c r="O56" i="8"/>
  <c r="P49" i="10" s="1"/>
  <c r="N56" i="8"/>
  <c r="M56" i="8"/>
  <c r="N49" i="10" s="1"/>
  <c r="G56" i="8"/>
  <c r="D56" i="8"/>
  <c r="C56" i="8"/>
  <c r="B56" i="8"/>
  <c r="B49" i="10" s="1"/>
  <c r="B57" i="11" s="1"/>
  <c r="A56" i="8"/>
  <c r="A49" i="10" s="1"/>
  <c r="U55" i="8"/>
  <c r="AD48" i="10" s="1"/>
  <c r="K56" i="11" s="1"/>
  <c r="T55" i="8"/>
  <c r="AC48" i="10" s="1"/>
  <c r="J56" i="11" s="1"/>
  <c r="S55" i="8"/>
  <c r="BC48" i="10" s="1"/>
  <c r="T56" i="11" s="1"/>
  <c r="U56" i="11" s="1"/>
  <c r="R55" i="8"/>
  <c r="BA48" i="10" s="1"/>
  <c r="Q56" i="11" s="1"/>
  <c r="R56" i="11" s="1"/>
  <c r="O55" i="8"/>
  <c r="P48" i="10" s="1"/>
  <c r="N55" i="8"/>
  <c r="M55" i="8"/>
  <c r="H55" i="8"/>
  <c r="G55" i="8"/>
  <c r="D55" i="8"/>
  <c r="C55" i="8"/>
  <c r="B55" i="8"/>
  <c r="B48" i="10" s="1"/>
  <c r="B56" i="11" s="1"/>
  <c r="A55" i="8"/>
  <c r="A48" i="10" s="1"/>
  <c r="B54" i="8"/>
  <c r="A52" i="8"/>
  <c r="U51" i="8"/>
  <c r="AD47" i="10" s="1"/>
  <c r="K55" i="11" s="1"/>
  <c r="T51" i="8"/>
  <c r="S51" i="8"/>
  <c r="BC47" i="10" s="1"/>
  <c r="T55" i="11" s="1"/>
  <c r="U55" i="11" s="1"/>
  <c r="R51" i="8"/>
  <c r="BA47" i="10" s="1"/>
  <c r="Q55" i="11" s="1"/>
  <c r="R55" i="11" s="1"/>
  <c r="O51" i="8"/>
  <c r="P47" i="10" s="1"/>
  <c r="N51" i="8"/>
  <c r="M51" i="8"/>
  <c r="H51" i="8"/>
  <c r="G51" i="8"/>
  <c r="D51" i="8"/>
  <c r="C51" i="8"/>
  <c r="B51" i="8"/>
  <c r="B47" i="10" s="1"/>
  <c r="B55" i="11" s="1"/>
  <c r="A51" i="8"/>
  <c r="A47" i="10" s="1"/>
  <c r="U50" i="8"/>
  <c r="T50" i="8"/>
  <c r="AC46" i="10" s="1"/>
  <c r="J54" i="11" s="1"/>
  <c r="S50" i="8"/>
  <c r="BC46" i="10" s="1"/>
  <c r="T54" i="11" s="1"/>
  <c r="U54" i="11" s="1"/>
  <c r="R50" i="8"/>
  <c r="BA46" i="10" s="1"/>
  <c r="Q54" i="11" s="1"/>
  <c r="R54" i="11" s="1"/>
  <c r="O50" i="8"/>
  <c r="P46" i="10" s="1"/>
  <c r="N50" i="8"/>
  <c r="M50" i="8"/>
  <c r="N46" i="10" s="1"/>
  <c r="G50" i="8"/>
  <c r="D50" i="8"/>
  <c r="C50" i="8"/>
  <c r="B50" i="8"/>
  <c r="B46" i="10" s="1"/>
  <c r="B54" i="11" s="1"/>
  <c r="A50" i="8"/>
  <c r="A46" i="10" s="1"/>
  <c r="U49" i="8"/>
  <c r="T49" i="8"/>
  <c r="AC45" i="10" s="1"/>
  <c r="J53" i="11" s="1"/>
  <c r="S49" i="8"/>
  <c r="BC45" i="10" s="1"/>
  <c r="T53" i="11" s="1"/>
  <c r="U53" i="11" s="1"/>
  <c r="R49" i="8"/>
  <c r="BA45" i="10" s="1"/>
  <c r="Q53" i="11" s="1"/>
  <c r="R53" i="11" s="1"/>
  <c r="O49" i="8"/>
  <c r="P45" i="10" s="1"/>
  <c r="N49" i="8"/>
  <c r="M49" i="8"/>
  <c r="N45" i="10" s="1"/>
  <c r="G49" i="8"/>
  <c r="D49" i="8"/>
  <c r="C49" i="8"/>
  <c r="B49" i="8"/>
  <c r="B45" i="10" s="1"/>
  <c r="B53" i="11" s="1"/>
  <c r="A49" i="8"/>
  <c r="A45" i="10" s="1"/>
  <c r="U48" i="8"/>
  <c r="T48" i="8"/>
  <c r="AC44" i="10" s="1"/>
  <c r="J52" i="11" s="1"/>
  <c r="S48" i="8"/>
  <c r="BC44" i="10" s="1"/>
  <c r="T52" i="11" s="1"/>
  <c r="U52" i="11" s="1"/>
  <c r="R48" i="8"/>
  <c r="BA44" i="10" s="1"/>
  <c r="Q52" i="11" s="1"/>
  <c r="R52" i="11" s="1"/>
  <c r="O48" i="8"/>
  <c r="P44" i="10" s="1"/>
  <c r="N48" i="8"/>
  <c r="M48" i="8"/>
  <c r="N44" i="10" s="1"/>
  <c r="G48" i="8"/>
  <c r="D48" i="8"/>
  <c r="C48" i="8"/>
  <c r="B48" i="8"/>
  <c r="B44" i="10" s="1"/>
  <c r="B52" i="11" s="1"/>
  <c r="A48" i="8"/>
  <c r="A44" i="10" s="1"/>
  <c r="U47" i="8"/>
  <c r="AD43" i="10" s="1"/>
  <c r="K51" i="11" s="1"/>
  <c r="T47" i="8"/>
  <c r="S47" i="8"/>
  <c r="BC43" i="10" s="1"/>
  <c r="T51" i="11" s="1"/>
  <c r="U51" i="11" s="1"/>
  <c r="R47" i="8"/>
  <c r="BA43" i="10" s="1"/>
  <c r="Q51" i="11" s="1"/>
  <c r="R51" i="11" s="1"/>
  <c r="O47" i="8"/>
  <c r="P43" i="10" s="1"/>
  <c r="N47" i="8"/>
  <c r="M47" i="8"/>
  <c r="G47" i="8"/>
  <c r="D47" i="8"/>
  <c r="C47" i="8"/>
  <c r="B47" i="8"/>
  <c r="B43" i="10" s="1"/>
  <c r="B51" i="11" s="1"/>
  <c r="A47" i="8"/>
  <c r="A43" i="10" s="1"/>
  <c r="U46" i="8"/>
  <c r="T46" i="8"/>
  <c r="AC42" i="10" s="1"/>
  <c r="J50" i="11" s="1"/>
  <c r="S46" i="8"/>
  <c r="BC42" i="10" s="1"/>
  <c r="T50" i="11" s="1"/>
  <c r="U50" i="11" s="1"/>
  <c r="R46" i="8"/>
  <c r="BA42" i="10" s="1"/>
  <c r="Q50" i="11" s="1"/>
  <c r="R50" i="11" s="1"/>
  <c r="O46" i="8"/>
  <c r="P42" i="10" s="1"/>
  <c r="N46" i="8"/>
  <c r="M46" i="8"/>
  <c r="N42" i="10" s="1"/>
  <c r="G46" i="8"/>
  <c r="D46" i="8"/>
  <c r="C46" i="8"/>
  <c r="B46" i="8"/>
  <c r="B42" i="10" s="1"/>
  <c r="B50" i="11" s="1"/>
  <c r="A46" i="8"/>
  <c r="A42" i="10" s="1"/>
  <c r="U45" i="8"/>
  <c r="T45" i="8"/>
  <c r="AC41" i="10" s="1"/>
  <c r="J49" i="11" s="1"/>
  <c r="S45" i="8"/>
  <c r="BC41" i="10" s="1"/>
  <c r="T49" i="11" s="1"/>
  <c r="U49" i="11" s="1"/>
  <c r="R45" i="8"/>
  <c r="BA41" i="10" s="1"/>
  <c r="Q49" i="11" s="1"/>
  <c r="R49" i="11" s="1"/>
  <c r="O45" i="8"/>
  <c r="P41" i="10" s="1"/>
  <c r="N45" i="8"/>
  <c r="M45" i="8"/>
  <c r="N41" i="10" s="1"/>
  <c r="G45" i="8"/>
  <c r="D45" i="8"/>
  <c r="C45" i="8"/>
  <c r="B45" i="8"/>
  <c r="B41" i="10" s="1"/>
  <c r="B49" i="11" s="1"/>
  <c r="A45" i="8"/>
  <c r="A41" i="10" s="1"/>
  <c r="U44" i="8"/>
  <c r="T44" i="8"/>
  <c r="AC40" i="10" s="1"/>
  <c r="J48" i="11" s="1"/>
  <c r="S44" i="8"/>
  <c r="BC40" i="10" s="1"/>
  <c r="T48" i="11" s="1"/>
  <c r="U48" i="11" s="1"/>
  <c r="R44" i="8"/>
  <c r="BA40" i="10" s="1"/>
  <c r="Q48" i="11" s="1"/>
  <c r="R48" i="11" s="1"/>
  <c r="O44" i="8"/>
  <c r="P40" i="10" s="1"/>
  <c r="N44" i="8"/>
  <c r="M44" i="8"/>
  <c r="N40" i="10" s="1"/>
  <c r="G44" i="8"/>
  <c r="D44" i="8"/>
  <c r="C44" i="8"/>
  <c r="B44" i="8"/>
  <c r="B40" i="10" s="1"/>
  <c r="B48" i="11" s="1"/>
  <c r="A44" i="8"/>
  <c r="A40" i="10" s="1"/>
  <c r="U43" i="8"/>
  <c r="AD39" i="10" s="1"/>
  <c r="K47" i="11" s="1"/>
  <c r="T43" i="8"/>
  <c r="S43" i="8"/>
  <c r="BC39" i="10" s="1"/>
  <c r="T47" i="11" s="1"/>
  <c r="U47" i="11" s="1"/>
  <c r="R43" i="8"/>
  <c r="BA39" i="10" s="1"/>
  <c r="Q47" i="11" s="1"/>
  <c r="R47" i="11" s="1"/>
  <c r="O43" i="8"/>
  <c r="P39" i="10" s="1"/>
  <c r="N43" i="8"/>
  <c r="M43" i="8"/>
  <c r="H43" i="8"/>
  <c r="G43" i="8"/>
  <c r="D43" i="8"/>
  <c r="C43" i="8"/>
  <c r="B43" i="8"/>
  <c r="B39" i="10" s="1"/>
  <c r="B47" i="11" s="1"/>
  <c r="A43" i="8"/>
  <c r="A39" i="10" s="1"/>
  <c r="V42" i="8"/>
  <c r="AE38" i="10" s="1"/>
  <c r="L46" i="11" s="1"/>
  <c r="U42" i="8"/>
  <c r="T42" i="8"/>
  <c r="AC38" i="10" s="1"/>
  <c r="J46" i="11" s="1"/>
  <c r="S42" i="8"/>
  <c r="BC38" i="10" s="1"/>
  <c r="T46" i="11" s="1"/>
  <c r="U46" i="11" s="1"/>
  <c r="R42" i="8"/>
  <c r="BA38" i="10" s="1"/>
  <c r="Q46" i="11" s="1"/>
  <c r="R46" i="11" s="1"/>
  <c r="O42" i="8"/>
  <c r="P38" i="10" s="1"/>
  <c r="N42" i="8"/>
  <c r="M42" i="8"/>
  <c r="N38" i="10" s="1"/>
  <c r="G42" i="8"/>
  <c r="D42" i="8"/>
  <c r="C42" i="8"/>
  <c r="B42" i="8"/>
  <c r="B38" i="10" s="1"/>
  <c r="B46" i="11" s="1"/>
  <c r="A42" i="8"/>
  <c r="A38" i="10" s="1"/>
  <c r="U41" i="8"/>
  <c r="T41" i="8"/>
  <c r="AC37" i="10" s="1"/>
  <c r="J45" i="11" s="1"/>
  <c r="S41" i="8"/>
  <c r="BC37" i="10" s="1"/>
  <c r="T45" i="11" s="1"/>
  <c r="U45" i="11" s="1"/>
  <c r="R41" i="8"/>
  <c r="BA37" i="10" s="1"/>
  <c r="Q45" i="11" s="1"/>
  <c r="R45" i="11" s="1"/>
  <c r="O41" i="8"/>
  <c r="P37" i="10" s="1"/>
  <c r="N41" i="8"/>
  <c r="M41" i="8"/>
  <c r="N37" i="10" s="1"/>
  <c r="G41" i="8"/>
  <c r="D41" i="8"/>
  <c r="C41" i="8"/>
  <c r="B41" i="8"/>
  <c r="B37" i="10" s="1"/>
  <c r="B45" i="11" s="1"/>
  <c r="A41" i="8"/>
  <c r="A37" i="10" s="1"/>
  <c r="U40" i="8"/>
  <c r="T40" i="8"/>
  <c r="AC36" i="10" s="1"/>
  <c r="J44" i="11" s="1"/>
  <c r="S40" i="8"/>
  <c r="BC36" i="10" s="1"/>
  <c r="T44" i="11" s="1"/>
  <c r="U44" i="11" s="1"/>
  <c r="R40" i="8"/>
  <c r="BA36" i="10" s="1"/>
  <c r="Q44" i="11" s="1"/>
  <c r="R44" i="11" s="1"/>
  <c r="O40" i="8"/>
  <c r="P36" i="10" s="1"/>
  <c r="N40" i="8"/>
  <c r="M40" i="8"/>
  <c r="N36" i="10" s="1"/>
  <c r="G40" i="8"/>
  <c r="D40" i="8"/>
  <c r="C40" i="8"/>
  <c r="B40" i="8"/>
  <c r="B36" i="10" s="1"/>
  <c r="B44" i="11" s="1"/>
  <c r="A40" i="8"/>
  <c r="A36" i="10" s="1"/>
  <c r="U39" i="8"/>
  <c r="AD35" i="10" s="1"/>
  <c r="K43" i="11" s="1"/>
  <c r="T39" i="8"/>
  <c r="S39" i="8"/>
  <c r="BC35" i="10" s="1"/>
  <c r="T43" i="11" s="1"/>
  <c r="U43" i="11" s="1"/>
  <c r="R39" i="8"/>
  <c r="BA35" i="10" s="1"/>
  <c r="Q43" i="11" s="1"/>
  <c r="R43" i="11" s="1"/>
  <c r="O39" i="8"/>
  <c r="P35" i="10" s="1"/>
  <c r="N39" i="8"/>
  <c r="M39" i="8"/>
  <c r="G39" i="8"/>
  <c r="D39" i="8"/>
  <c r="C39" i="8"/>
  <c r="B39" i="8"/>
  <c r="B35" i="10" s="1"/>
  <c r="B43" i="11" s="1"/>
  <c r="A39" i="8"/>
  <c r="A35" i="10" s="1"/>
  <c r="V38" i="8"/>
  <c r="AE34" i="10" s="1"/>
  <c r="L42" i="11" s="1"/>
  <c r="U38" i="8"/>
  <c r="T38" i="8"/>
  <c r="AC34" i="10" s="1"/>
  <c r="J42" i="11" s="1"/>
  <c r="S38" i="8"/>
  <c r="BC34" i="10" s="1"/>
  <c r="T42" i="11" s="1"/>
  <c r="U42" i="11" s="1"/>
  <c r="R38" i="8"/>
  <c r="BA34" i="10" s="1"/>
  <c r="Q42" i="11" s="1"/>
  <c r="R42" i="11" s="1"/>
  <c r="O38" i="8"/>
  <c r="P34" i="10" s="1"/>
  <c r="N38" i="8"/>
  <c r="M38" i="8"/>
  <c r="N34" i="10" s="1"/>
  <c r="G38" i="8"/>
  <c r="D38" i="8"/>
  <c r="C38" i="8"/>
  <c r="B38" i="8"/>
  <c r="B34" i="10" s="1"/>
  <c r="B42" i="11" s="1"/>
  <c r="A38" i="8"/>
  <c r="A34" i="10" s="1"/>
  <c r="U37" i="8"/>
  <c r="T37" i="8"/>
  <c r="AC33" i="10" s="1"/>
  <c r="J41" i="11" s="1"/>
  <c r="S37" i="8"/>
  <c r="BC33" i="10" s="1"/>
  <c r="T41" i="11" s="1"/>
  <c r="U41" i="11" s="1"/>
  <c r="R37" i="8"/>
  <c r="BA33" i="10" s="1"/>
  <c r="Q41" i="11" s="1"/>
  <c r="R41" i="11" s="1"/>
  <c r="O37" i="8"/>
  <c r="P33" i="10" s="1"/>
  <c r="N37" i="8"/>
  <c r="M37" i="8"/>
  <c r="N33" i="10" s="1"/>
  <c r="G37" i="8"/>
  <c r="D37" i="8"/>
  <c r="C37" i="8"/>
  <c r="B37" i="8"/>
  <c r="B33" i="10" s="1"/>
  <c r="B41" i="11" s="1"/>
  <c r="A37" i="8"/>
  <c r="A33" i="10" s="1"/>
  <c r="U36" i="8"/>
  <c r="T36" i="8"/>
  <c r="AC32" i="10" s="1"/>
  <c r="J40" i="11" s="1"/>
  <c r="S36" i="8"/>
  <c r="BC32" i="10" s="1"/>
  <c r="T40" i="11" s="1"/>
  <c r="U40" i="11" s="1"/>
  <c r="R36" i="8"/>
  <c r="BA32" i="10" s="1"/>
  <c r="Q40" i="11" s="1"/>
  <c r="R40" i="11" s="1"/>
  <c r="O36" i="8"/>
  <c r="P32" i="10" s="1"/>
  <c r="N36" i="8"/>
  <c r="M36" i="8"/>
  <c r="N32" i="10" s="1"/>
  <c r="G36" i="8"/>
  <c r="D36" i="8"/>
  <c r="C36" i="8"/>
  <c r="B36" i="8"/>
  <c r="B32" i="10" s="1"/>
  <c r="B40" i="11" s="1"/>
  <c r="A36" i="8"/>
  <c r="A32" i="10" s="1"/>
  <c r="U35" i="8"/>
  <c r="AD31" i="10" s="1"/>
  <c r="K39" i="11" s="1"/>
  <c r="T35" i="8"/>
  <c r="S35" i="8"/>
  <c r="BC31" i="10" s="1"/>
  <c r="T39" i="11" s="1"/>
  <c r="U39" i="11" s="1"/>
  <c r="R35" i="8"/>
  <c r="BA31" i="10" s="1"/>
  <c r="Q39" i="11" s="1"/>
  <c r="R39" i="11" s="1"/>
  <c r="O35" i="8"/>
  <c r="P31" i="10" s="1"/>
  <c r="N35" i="8"/>
  <c r="M35" i="8"/>
  <c r="G35" i="8"/>
  <c r="D35" i="8"/>
  <c r="C35" i="8"/>
  <c r="B35" i="8"/>
  <c r="B31" i="10" s="1"/>
  <c r="B39" i="11" s="1"/>
  <c r="A35" i="8"/>
  <c r="A31" i="10" s="1"/>
  <c r="V34" i="8"/>
  <c r="AE30" i="10" s="1"/>
  <c r="L38" i="11" s="1"/>
  <c r="U34" i="8"/>
  <c r="T34" i="8"/>
  <c r="AC30" i="10" s="1"/>
  <c r="J38" i="11" s="1"/>
  <c r="S34" i="8"/>
  <c r="BC30" i="10" s="1"/>
  <c r="T38" i="11" s="1"/>
  <c r="U38" i="11" s="1"/>
  <c r="R34" i="8"/>
  <c r="BA30" i="10" s="1"/>
  <c r="Q38" i="11" s="1"/>
  <c r="R38" i="11" s="1"/>
  <c r="O34" i="8"/>
  <c r="P30" i="10" s="1"/>
  <c r="N34" i="8"/>
  <c r="M34" i="8"/>
  <c r="N30" i="10" s="1"/>
  <c r="G34" i="8"/>
  <c r="D34" i="8"/>
  <c r="C34" i="8"/>
  <c r="B34" i="8"/>
  <c r="B30" i="10" s="1"/>
  <c r="B38" i="11" s="1"/>
  <c r="A34" i="8"/>
  <c r="A30" i="10" s="1"/>
  <c r="U33" i="8"/>
  <c r="T33" i="8"/>
  <c r="AC29" i="10" s="1"/>
  <c r="J37" i="11" s="1"/>
  <c r="S33" i="8"/>
  <c r="BC29" i="10" s="1"/>
  <c r="T37" i="11" s="1"/>
  <c r="U37" i="11" s="1"/>
  <c r="R33" i="8"/>
  <c r="BA29" i="10" s="1"/>
  <c r="Q37" i="11" s="1"/>
  <c r="R37" i="11" s="1"/>
  <c r="O33" i="8"/>
  <c r="P29" i="10" s="1"/>
  <c r="N33" i="8"/>
  <c r="M33" i="8"/>
  <c r="N29" i="10" s="1"/>
  <c r="G33" i="8"/>
  <c r="D33" i="8"/>
  <c r="C33" i="8"/>
  <c r="B33" i="8"/>
  <c r="B29" i="10" s="1"/>
  <c r="B37" i="11" s="1"/>
  <c r="A33" i="8"/>
  <c r="A29" i="10" s="1"/>
  <c r="U32" i="8"/>
  <c r="T32" i="8"/>
  <c r="AC28" i="10" s="1"/>
  <c r="J36" i="11" s="1"/>
  <c r="S32" i="8"/>
  <c r="BC28" i="10" s="1"/>
  <c r="T36" i="11" s="1"/>
  <c r="U36" i="11" s="1"/>
  <c r="R32" i="8"/>
  <c r="BA28" i="10" s="1"/>
  <c r="Q36" i="11" s="1"/>
  <c r="R36" i="11" s="1"/>
  <c r="O32" i="8"/>
  <c r="P28" i="10" s="1"/>
  <c r="N32" i="8"/>
  <c r="M32" i="8"/>
  <c r="N28" i="10" s="1"/>
  <c r="G32" i="8"/>
  <c r="D32" i="8"/>
  <c r="C32" i="8"/>
  <c r="B32" i="8"/>
  <c r="B28" i="10" s="1"/>
  <c r="B36" i="11" s="1"/>
  <c r="A32" i="8"/>
  <c r="A28" i="10" s="1"/>
  <c r="U31" i="8"/>
  <c r="AD27" i="10" s="1"/>
  <c r="K35" i="11" s="1"/>
  <c r="T31" i="8"/>
  <c r="AC27" i="10" s="1"/>
  <c r="J35" i="11" s="1"/>
  <c r="S31" i="8"/>
  <c r="BC27" i="10" s="1"/>
  <c r="T35" i="11" s="1"/>
  <c r="U35" i="11" s="1"/>
  <c r="R31" i="8"/>
  <c r="BA27" i="10" s="1"/>
  <c r="Q35" i="11" s="1"/>
  <c r="R35" i="11" s="1"/>
  <c r="O31" i="8"/>
  <c r="P27" i="10" s="1"/>
  <c r="N31" i="8"/>
  <c r="M31" i="8"/>
  <c r="N27" i="10" s="1"/>
  <c r="H31" i="8"/>
  <c r="G31" i="8"/>
  <c r="D31" i="8"/>
  <c r="C31" i="8"/>
  <c r="B31" i="8"/>
  <c r="B27" i="10" s="1"/>
  <c r="B35" i="11" s="1"/>
  <c r="A31" i="8"/>
  <c r="A27" i="10" s="1"/>
  <c r="B30" i="8"/>
  <c r="D33" i="10" s="1"/>
  <c r="E41" i="11" s="1"/>
  <c r="A28" i="8"/>
  <c r="U27" i="8"/>
  <c r="AD26" i="10" s="1"/>
  <c r="K34" i="11" s="1"/>
  <c r="T27" i="8"/>
  <c r="S27" i="8"/>
  <c r="BC26" i="10" s="1"/>
  <c r="T34" i="11" s="1"/>
  <c r="U34" i="11" s="1"/>
  <c r="R27" i="8"/>
  <c r="BA26" i="10" s="1"/>
  <c r="Q34" i="11" s="1"/>
  <c r="R34" i="11" s="1"/>
  <c r="O27" i="8"/>
  <c r="P26" i="10" s="1"/>
  <c r="N27" i="8"/>
  <c r="M27" i="8"/>
  <c r="N26" i="10" s="1"/>
  <c r="I27" i="8"/>
  <c r="H26" i="10" s="1"/>
  <c r="N34" i="11" s="1"/>
  <c r="O34" i="11" s="1"/>
  <c r="H27" i="8"/>
  <c r="AF26" i="10" s="1"/>
  <c r="M34" i="11" s="1"/>
  <c r="G27" i="8"/>
  <c r="D27" i="8"/>
  <c r="C27" i="8"/>
  <c r="B27" i="8"/>
  <c r="B26" i="10" s="1"/>
  <c r="B34" i="11" s="1"/>
  <c r="A27" i="8"/>
  <c r="A26" i="10" s="1"/>
  <c r="V26" i="8"/>
  <c r="AE25" i="10" s="1"/>
  <c r="L33" i="11" s="1"/>
  <c r="U26" i="8"/>
  <c r="T26" i="8"/>
  <c r="AC25" i="10" s="1"/>
  <c r="J33" i="11" s="1"/>
  <c r="S26" i="8"/>
  <c r="BC25" i="10" s="1"/>
  <c r="T33" i="11" s="1"/>
  <c r="U33" i="11" s="1"/>
  <c r="R26" i="8"/>
  <c r="BA25" i="10" s="1"/>
  <c r="Q33" i="11" s="1"/>
  <c r="R33" i="11" s="1"/>
  <c r="O26" i="8"/>
  <c r="P25" i="10" s="1"/>
  <c r="N26" i="8"/>
  <c r="M26" i="8"/>
  <c r="N25" i="10" s="1"/>
  <c r="G26" i="8"/>
  <c r="D26" i="8"/>
  <c r="C26" i="8"/>
  <c r="B26" i="8"/>
  <c r="B25" i="10" s="1"/>
  <c r="B33" i="11" s="1"/>
  <c r="A26" i="8"/>
  <c r="A25" i="10" s="1"/>
  <c r="U25" i="8"/>
  <c r="AD24" i="10" s="1"/>
  <c r="K32" i="11" s="1"/>
  <c r="T25" i="8"/>
  <c r="S25" i="8"/>
  <c r="BC24" i="10" s="1"/>
  <c r="T32" i="11" s="1"/>
  <c r="U32" i="11" s="1"/>
  <c r="R25" i="8"/>
  <c r="BA24" i="10" s="1"/>
  <c r="Q32" i="11" s="1"/>
  <c r="R32" i="11" s="1"/>
  <c r="O25" i="8"/>
  <c r="P24" i="10" s="1"/>
  <c r="N25" i="8"/>
  <c r="M25" i="8"/>
  <c r="N24" i="10" s="1"/>
  <c r="G25" i="8"/>
  <c r="D25" i="8"/>
  <c r="C25" i="8"/>
  <c r="B25" i="8"/>
  <c r="B24" i="10" s="1"/>
  <c r="B32" i="11" s="1"/>
  <c r="A25" i="8"/>
  <c r="A24" i="10" s="1"/>
  <c r="U24" i="8"/>
  <c r="AD23" i="10" s="1"/>
  <c r="K31" i="11" s="1"/>
  <c r="T24" i="8"/>
  <c r="AC23" i="10" s="1"/>
  <c r="J31" i="11" s="1"/>
  <c r="S24" i="8"/>
  <c r="BC23" i="10" s="1"/>
  <c r="T31" i="11" s="1"/>
  <c r="U31" i="11" s="1"/>
  <c r="R24" i="8"/>
  <c r="BA23" i="10" s="1"/>
  <c r="Q31" i="11" s="1"/>
  <c r="R31" i="11" s="1"/>
  <c r="O24" i="8"/>
  <c r="P23" i="10" s="1"/>
  <c r="N24" i="8"/>
  <c r="M24" i="8"/>
  <c r="N23" i="10" s="1"/>
  <c r="G24" i="8"/>
  <c r="D24" i="8"/>
  <c r="C24" i="8"/>
  <c r="B24" i="8"/>
  <c r="B23" i="10" s="1"/>
  <c r="B31" i="11" s="1"/>
  <c r="A24" i="8"/>
  <c r="A23" i="10" s="1"/>
  <c r="U23" i="8"/>
  <c r="AD22" i="10" s="1"/>
  <c r="K30" i="11" s="1"/>
  <c r="T23" i="8"/>
  <c r="S23" i="8"/>
  <c r="BC22" i="10" s="1"/>
  <c r="T30" i="11" s="1"/>
  <c r="U30" i="11" s="1"/>
  <c r="R23" i="8"/>
  <c r="BA22" i="10" s="1"/>
  <c r="Q30" i="11" s="1"/>
  <c r="R30" i="11" s="1"/>
  <c r="O23" i="8"/>
  <c r="P22" i="10" s="1"/>
  <c r="N23" i="8"/>
  <c r="M23" i="8"/>
  <c r="N22" i="10" s="1"/>
  <c r="G23" i="8"/>
  <c r="D23" i="8"/>
  <c r="C23" i="8"/>
  <c r="B23" i="8"/>
  <c r="B22" i="10" s="1"/>
  <c r="B30" i="11" s="1"/>
  <c r="A23" i="8"/>
  <c r="A22" i="10" s="1"/>
  <c r="V22" i="8"/>
  <c r="AE21" i="10" s="1"/>
  <c r="L29" i="11" s="1"/>
  <c r="U22" i="8"/>
  <c r="T22" i="8"/>
  <c r="AC21" i="10" s="1"/>
  <c r="J29" i="11" s="1"/>
  <c r="S22" i="8"/>
  <c r="BC21" i="10" s="1"/>
  <c r="T29" i="11" s="1"/>
  <c r="U29" i="11" s="1"/>
  <c r="R22" i="8"/>
  <c r="BA21" i="10" s="1"/>
  <c r="Q29" i="11" s="1"/>
  <c r="R29" i="11" s="1"/>
  <c r="O22" i="8"/>
  <c r="P21" i="10" s="1"/>
  <c r="N22" i="8"/>
  <c r="M22" i="8"/>
  <c r="N21" i="10" s="1"/>
  <c r="G22" i="8"/>
  <c r="D22" i="8"/>
  <c r="C22" i="8"/>
  <c r="B22" i="8"/>
  <c r="B21" i="10" s="1"/>
  <c r="B29" i="11" s="1"/>
  <c r="A22" i="8"/>
  <c r="A21" i="10" s="1"/>
  <c r="AG21" i="8"/>
  <c r="U21" i="8"/>
  <c r="AD20" i="10" s="1"/>
  <c r="K28" i="11" s="1"/>
  <c r="T21" i="8"/>
  <c r="S21" i="8"/>
  <c r="BC20" i="10" s="1"/>
  <c r="T28" i="11" s="1"/>
  <c r="U28" i="11" s="1"/>
  <c r="R21" i="8"/>
  <c r="BA20" i="10" s="1"/>
  <c r="Q28" i="11" s="1"/>
  <c r="R28" i="11" s="1"/>
  <c r="O21" i="8"/>
  <c r="P20" i="10" s="1"/>
  <c r="N21" i="8"/>
  <c r="M21" i="8"/>
  <c r="N20" i="10" s="1"/>
  <c r="H21" i="8"/>
  <c r="AF20" i="10" s="1"/>
  <c r="M28" i="11" s="1"/>
  <c r="G21" i="8"/>
  <c r="D21" i="8"/>
  <c r="C21" i="8"/>
  <c r="B21" i="8"/>
  <c r="B20" i="10" s="1"/>
  <c r="B28" i="11" s="1"/>
  <c r="A21" i="8"/>
  <c r="A20" i="10" s="1"/>
  <c r="AG20" i="8"/>
  <c r="U20" i="8"/>
  <c r="AD19" i="10" s="1"/>
  <c r="K27" i="11" s="1"/>
  <c r="T20" i="8"/>
  <c r="AC19" i="10" s="1"/>
  <c r="J27" i="11" s="1"/>
  <c r="S20" i="8"/>
  <c r="BC19" i="10" s="1"/>
  <c r="T27" i="11" s="1"/>
  <c r="U27" i="11" s="1"/>
  <c r="R20" i="8"/>
  <c r="BA19" i="10" s="1"/>
  <c r="Q27" i="11" s="1"/>
  <c r="R27" i="11" s="1"/>
  <c r="O20" i="8"/>
  <c r="P19" i="10" s="1"/>
  <c r="N20" i="8"/>
  <c r="M20" i="8"/>
  <c r="N19" i="10" s="1"/>
  <c r="G20" i="8"/>
  <c r="D20" i="8"/>
  <c r="C20" i="8"/>
  <c r="B20" i="8"/>
  <c r="B19" i="10" s="1"/>
  <c r="B27" i="11" s="1"/>
  <c r="A20" i="8"/>
  <c r="A19" i="10" s="1"/>
  <c r="U19" i="8"/>
  <c r="AD18" i="10" s="1"/>
  <c r="K26" i="11" s="1"/>
  <c r="T19" i="8"/>
  <c r="S19" i="8"/>
  <c r="BC18" i="10" s="1"/>
  <c r="T26" i="11" s="1"/>
  <c r="U26" i="11" s="1"/>
  <c r="R19" i="8"/>
  <c r="BA18" i="10" s="1"/>
  <c r="Q26" i="11" s="1"/>
  <c r="R26" i="11" s="1"/>
  <c r="O19" i="8"/>
  <c r="P18" i="10" s="1"/>
  <c r="N19" i="8"/>
  <c r="M19" i="8"/>
  <c r="N18" i="10" s="1"/>
  <c r="H19" i="8"/>
  <c r="G19" i="8"/>
  <c r="D19" i="8"/>
  <c r="C19" i="8"/>
  <c r="B19" i="8"/>
  <c r="B18" i="10" s="1"/>
  <c r="B26" i="11" s="1"/>
  <c r="A19" i="8"/>
  <c r="A18" i="10" s="1"/>
  <c r="V18" i="8"/>
  <c r="AE17" i="10" s="1"/>
  <c r="L25" i="11" s="1"/>
  <c r="U18" i="8"/>
  <c r="T18" i="8"/>
  <c r="AC17" i="10" s="1"/>
  <c r="J25" i="11" s="1"/>
  <c r="S18" i="8"/>
  <c r="BC17" i="10" s="1"/>
  <c r="T25" i="11" s="1"/>
  <c r="U25" i="11" s="1"/>
  <c r="R18" i="8"/>
  <c r="BA17" i="10" s="1"/>
  <c r="Q25" i="11" s="1"/>
  <c r="R25" i="11" s="1"/>
  <c r="O18" i="8"/>
  <c r="P17" i="10" s="1"/>
  <c r="N18" i="8"/>
  <c r="M18" i="8"/>
  <c r="N17" i="10" s="1"/>
  <c r="G18" i="8"/>
  <c r="D18" i="8"/>
  <c r="C18" i="8"/>
  <c r="B18" i="8"/>
  <c r="B17" i="10" s="1"/>
  <c r="B25" i="11" s="1"/>
  <c r="A18" i="8"/>
  <c r="A17" i="10" s="1"/>
  <c r="U17" i="8"/>
  <c r="AD16" i="10" s="1"/>
  <c r="K24" i="11" s="1"/>
  <c r="T17" i="8"/>
  <c r="S17" i="8"/>
  <c r="BC16" i="10" s="1"/>
  <c r="T24" i="11" s="1"/>
  <c r="U24" i="11" s="1"/>
  <c r="R17" i="8"/>
  <c r="BA16" i="10" s="1"/>
  <c r="Q24" i="11" s="1"/>
  <c r="R24" i="11" s="1"/>
  <c r="O17" i="8"/>
  <c r="P16" i="10" s="1"/>
  <c r="N17" i="8"/>
  <c r="M17" i="8"/>
  <c r="N16" i="10" s="1"/>
  <c r="H17" i="8"/>
  <c r="AF16" i="10" s="1"/>
  <c r="M24" i="11" s="1"/>
  <c r="G17" i="8"/>
  <c r="D17" i="8"/>
  <c r="C17" i="8"/>
  <c r="B17" i="8"/>
  <c r="B16" i="10" s="1"/>
  <c r="B24" i="11" s="1"/>
  <c r="A17" i="8"/>
  <c r="A16" i="10" s="1"/>
  <c r="U16" i="8"/>
  <c r="AD15" i="10" s="1"/>
  <c r="K23" i="11" s="1"/>
  <c r="T16" i="8"/>
  <c r="AC15" i="10" s="1"/>
  <c r="J23" i="11" s="1"/>
  <c r="S16" i="8"/>
  <c r="BC15" i="10" s="1"/>
  <c r="T23" i="11" s="1"/>
  <c r="U23" i="11" s="1"/>
  <c r="R16" i="8"/>
  <c r="BA15" i="10" s="1"/>
  <c r="Q23" i="11" s="1"/>
  <c r="R23" i="11" s="1"/>
  <c r="O16" i="8"/>
  <c r="P15" i="10" s="1"/>
  <c r="N16" i="8"/>
  <c r="M16" i="8"/>
  <c r="N15" i="10" s="1"/>
  <c r="G16" i="8"/>
  <c r="D16" i="8"/>
  <c r="C16" i="8"/>
  <c r="B16" i="8"/>
  <c r="B15" i="10" s="1"/>
  <c r="B23" i="11" s="1"/>
  <c r="A16" i="8"/>
  <c r="A15" i="10" s="1"/>
  <c r="AF15" i="8"/>
  <c r="U15" i="8"/>
  <c r="AD14" i="10" s="1"/>
  <c r="K22" i="11" s="1"/>
  <c r="T15" i="8"/>
  <c r="S15" i="8"/>
  <c r="BC14" i="10" s="1"/>
  <c r="T22" i="11" s="1"/>
  <c r="U22" i="11" s="1"/>
  <c r="R15" i="8"/>
  <c r="BA14" i="10" s="1"/>
  <c r="Q22" i="11" s="1"/>
  <c r="R22" i="11" s="1"/>
  <c r="O15" i="8"/>
  <c r="P14" i="10" s="1"/>
  <c r="N15" i="8"/>
  <c r="M15" i="8"/>
  <c r="N14" i="10" s="1"/>
  <c r="G15" i="8"/>
  <c r="D15" i="8"/>
  <c r="C15" i="8"/>
  <c r="B15" i="8"/>
  <c r="B14" i="10" s="1"/>
  <c r="B22" i="11" s="1"/>
  <c r="A15" i="8"/>
  <c r="A14" i="10" s="1"/>
  <c r="V14" i="8"/>
  <c r="AE13" i="10" s="1"/>
  <c r="L21" i="11" s="1"/>
  <c r="U14" i="8"/>
  <c r="T14" i="8"/>
  <c r="AC13" i="10" s="1"/>
  <c r="J21" i="11" s="1"/>
  <c r="S14" i="8"/>
  <c r="BC13" i="10" s="1"/>
  <c r="T21" i="11" s="1"/>
  <c r="U21" i="11" s="1"/>
  <c r="R14" i="8"/>
  <c r="BA13" i="10" s="1"/>
  <c r="Q21" i="11" s="1"/>
  <c r="R21" i="11" s="1"/>
  <c r="O14" i="8"/>
  <c r="P13" i="10" s="1"/>
  <c r="N14" i="8"/>
  <c r="M14" i="8"/>
  <c r="N13" i="10" s="1"/>
  <c r="G14" i="8"/>
  <c r="D14" i="8"/>
  <c r="C14" i="8"/>
  <c r="B14" i="8"/>
  <c r="B13" i="10" s="1"/>
  <c r="B21" i="11" s="1"/>
  <c r="A14" i="8"/>
  <c r="A13" i="10" s="1"/>
  <c r="U13" i="8"/>
  <c r="AD12" i="10" s="1"/>
  <c r="K20" i="11" s="1"/>
  <c r="T13" i="8"/>
  <c r="S13" i="8"/>
  <c r="BC12" i="10" s="1"/>
  <c r="T20" i="11" s="1"/>
  <c r="U20" i="11" s="1"/>
  <c r="R13" i="8"/>
  <c r="BA12" i="10" s="1"/>
  <c r="Q20" i="11" s="1"/>
  <c r="R20" i="11" s="1"/>
  <c r="O13" i="8"/>
  <c r="P12" i="10" s="1"/>
  <c r="N13" i="8"/>
  <c r="M13" i="8"/>
  <c r="N12" i="10" s="1"/>
  <c r="H13" i="8"/>
  <c r="AF12" i="10" s="1"/>
  <c r="M20" i="11" s="1"/>
  <c r="G13" i="8"/>
  <c r="D13" i="8"/>
  <c r="C13" i="8"/>
  <c r="B13" i="8"/>
  <c r="B12" i="10" s="1"/>
  <c r="B20" i="11" s="1"/>
  <c r="A13" i="8"/>
  <c r="A12" i="10" s="1"/>
  <c r="AG12" i="8"/>
  <c r="U12" i="8"/>
  <c r="AD11" i="10" s="1"/>
  <c r="K19" i="11" s="1"/>
  <c r="T12" i="8"/>
  <c r="AC11" i="10" s="1"/>
  <c r="J19" i="11" s="1"/>
  <c r="S12" i="8"/>
  <c r="BC11" i="10" s="1"/>
  <c r="T19" i="11" s="1"/>
  <c r="U19" i="11" s="1"/>
  <c r="R12" i="8"/>
  <c r="BA11" i="10" s="1"/>
  <c r="Q19" i="11" s="1"/>
  <c r="R19" i="11" s="1"/>
  <c r="O12" i="8"/>
  <c r="P11" i="10" s="1"/>
  <c r="N12" i="8"/>
  <c r="M12" i="8"/>
  <c r="N11" i="10" s="1"/>
  <c r="G12" i="8"/>
  <c r="D12" i="8"/>
  <c r="C12" i="8"/>
  <c r="B12" i="8"/>
  <c r="B11" i="10" s="1"/>
  <c r="B19" i="11" s="1"/>
  <c r="A12" i="8"/>
  <c r="A11" i="10" s="1"/>
  <c r="U11" i="8"/>
  <c r="AD10" i="10" s="1"/>
  <c r="K18" i="11" s="1"/>
  <c r="T11" i="8"/>
  <c r="S11" i="8"/>
  <c r="BC10" i="10" s="1"/>
  <c r="T18" i="11" s="1"/>
  <c r="U18" i="11" s="1"/>
  <c r="R11" i="8"/>
  <c r="BA10" i="10" s="1"/>
  <c r="Q18" i="11" s="1"/>
  <c r="R18" i="11" s="1"/>
  <c r="O11" i="8"/>
  <c r="P10" i="10" s="1"/>
  <c r="N11" i="8"/>
  <c r="M11" i="8"/>
  <c r="N10" i="10" s="1"/>
  <c r="H11" i="8"/>
  <c r="G11" i="8"/>
  <c r="D11" i="8"/>
  <c r="C11" i="8"/>
  <c r="B11" i="8"/>
  <c r="B10" i="10" s="1"/>
  <c r="B18" i="11" s="1"/>
  <c r="A11" i="8"/>
  <c r="A10" i="10" s="1"/>
  <c r="V10" i="8"/>
  <c r="AE9" i="10" s="1"/>
  <c r="L17" i="11" s="1"/>
  <c r="U10" i="8"/>
  <c r="T10" i="8"/>
  <c r="AC9" i="10" s="1"/>
  <c r="J17" i="11" s="1"/>
  <c r="S10" i="8"/>
  <c r="BC9" i="10" s="1"/>
  <c r="T17" i="11" s="1"/>
  <c r="U17" i="11" s="1"/>
  <c r="R10" i="8"/>
  <c r="BA9" i="10" s="1"/>
  <c r="Q17" i="11" s="1"/>
  <c r="R17" i="11" s="1"/>
  <c r="O10" i="8"/>
  <c r="P9" i="10" s="1"/>
  <c r="N10" i="8"/>
  <c r="M10" i="8"/>
  <c r="N9" i="10" s="1"/>
  <c r="G10" i="8"/>
  <c r="D10" i="8"/>
  <c r="C10" i="8"/>
  <c r="B10" i="8"/>
  <c r="B9" i="10" s="1"/>
  <c r="B17" i="11" s="1"/>
  <c r="A10" i="8"/>
  <c r="A9" i="10" s="1"/>
  <c r="U9" i="8"/>
  <c r="AD8" i="10" s="1"/>
  <c r="K16" i="11" s="1"/>
  <c r="T9" i="8"/>
  <c r="S9" i="8"/>
  <c r="BC8" i="10" s="1"/>
  <c r="T16" i="11" s="1"/>
  <c r="U16" i="11" s="1"/>
  <c r="R9" i="8"/>
  <c r="BA8" i="10" s="1"/>
  <c r="Q16" i="11" s="1"/>
  <c r="R16" i="11" s="1"/>
  <c r="O9" i="8"/>
  <c r="P8" i="10" s="1"/>
  <c r="N9" i="8"/>
  <c r="M9" i="8"/>
  <c r="N8" i="10" s="1"/>
  <c r="H9" i="8"/>
  <c r="AF8" i="10" s="1"/>
  <c r="M16" i="11" s="1"/>
  <c r="G9" i="8"/>
  <c r="D9" i="8"/>
  <c r="C9" i="8"/>
  <c r="B9" i="8"/>
  <c r="B8" i="10" s="1"/>
  <c r="B16" i="11" s="1"/>
  <c r="A9" i="8"/>
  <c r="A8" i="10" s="1"/>
  <c r="U8" i="8"/>
  <c r="AD7" i="10" s="1"/>
  <c r="K15" i="11" s="1"/>
  <c r="T8" i="8"/>
  <c r="AC7" i="10" s="1"/>
  <c r="J15" i="11" s="1"/>
  <c r="S8" i="8"/>
  <c r="BC7" i="10" s="1"/>
  <c r="T15" i="11" s="1"/>
  <c r="U15" i="11" s="1"/>
  <c r="R8" i="8"/>
  <c r="BA7" i="10" s="1"/>
  <c r="Q15" i="11" s="1"/>
  <c r="R15" i="11" s="1"/>
  <c r="O8" i="8"/>
  <c r="P7" i="10" s="1"/>
  <c r="N8" i="8"/>
  <c r="M8" i="8"/>
  <c r="N7" i="10" s="1"/>
  <c r="G8" i="8"/>
  <c r="D8" i="8"/>
  <c r="C8" i="8"/>
  <c r="B8" i="8"/>
  <c r="B7" i="10" s="1"/>
  <c r="B15" i="11" s="1"/>
  <c r="A8" i="8"/>
  <c r="A7" i="10" s="1"/>
  <c r="U7" i="8"/>
  <c r="AD6" i="10" s="1"/>
  <c r="K14" i="11" s="1"/>
  <c r="T7" i="8"/>
  <c r="AC6" i="10" s="1"/>
  <c r="J14" i="11" s="1"/>
  <c r="S7" i="8"/>
  <c r="BC6" i="10" s="1"/>
  <c r="T14" i="11" s="1"/>
  <c r="U14" i="11" s="1"/>
  <c r="R7" i="8"/>
  <c r="BA6" i="10" s="1"/>
  <c r="Q14" i="11" s="1"/>
  <c r="R14" i="11" s="1"/>
  <c r="O7" i="8"/>
  <c r="P6" i="10" s="1"/>
  <c r="N7" i="8"/>
  <c r="M7" i="8"/>
  <c r="N6" i="10" s="1"/>
  <c r="G7" i="8"/>
  <c r="D7" i="8"/>
  <c r="C7" i="8"/>
  <c r="B7" i="8"/>
  <c r="B6" i="10" s="1"/>
  <c r="B14" i="11" s="1"/>
  <c r="A7" i="8"/>
  <c r="A6" i="10" s="1"/>
  <c r="B6" i="8"/>
  <c r="A6" i="8"/>
  <c r="P116" i="17"/>
  <c r="N116" i="17"/>
  <c r="O116" i="17" s="1"/>
  <c r="N115" i="17"/>
  <c r="O115" i="17" s="1"/>
  <c r="P115" i="17" s="1"/>
  <c r="N107" i="17"/>
  <c r="O107" i="17" s="1"/>
  <c r="P107" i="17" s="1"/>
  <c r="N106" i="17"/>
  <c r="O106" i="17" s="1"/>
  <c r="P106" i="17" s="1"/>
  <c r="N102" i="17"/>
  <c r="O102" i="17" s="1"/>
  <c r="P102" i="17" s="1"/>
  <c r="P95" i="17"/>
  <c r="N95" i="17"/>
  <c r="O95" i="17" s="1"/>
  <c r="N93" i="17"/>
  <c r="O93" i="17" s="1"/>
  <c r="P93" i="17" s="1"/>
  <c r="P86" i="17"/>
  <c r="N86" i="17"/>
  <c r="O86" i="17" s="1"/>
  <c r="N84" i="17"/>
  <c r="O84" i="17" s="1"/>
  <c r="P84" i="17" s="1"/>
  <c r="N76" i="17"/>
  <c r="O76" i="17" s="1"/>
  <c r="P76" i="17" s="1"/>
  <c r="N74" i="17"/>
  <c r="O74" i="17" s="1"/>
  <c r="P74" i="17" s="1"/>
  <c r="N67" i="17"/>
  <c r="O67" i="17" s="1"/>
  <c r="P67" i="17" s="1"/>
  <c r="N65" i="17"/>
  <c r="O65" i="17" s="1"/>
  <c r="P65" i="17" s="1"/>
  <c r="N57" i="17"/>
  <c r="O57" i="17" s="1"/>
  <c r="P57" i="17" s="1"/>
  <c r="N55" i="17"/>
  <c r="O55" i="17" s="1"/>
  <c r="P55" i="17" s="1"/>
  <c r="P47" i="17"/>
  <c r="N47" i="17"/>
  <c r="O47" i="17" s="1"/>
  <c r="N45" i="17"/>
  <c r="O45" i="17" s="1"/>
  <c r="P45" i="17" s="1"/>
  <c r="P38" i="17"/>
  <c r="N38" i="17"/>
  <c r="O38" i="17" s="1"/>
  <c r="N36" i="17"/>
  <c r="O36" i="17" s="1"/>
  <c r="P36" i="17" s="1"/>
  <c r="N35" i="17"/>
  <c r="O35" i="17" s="1"/>
  <c r="P35" i="17" s="1"/>
  <c r="T28" i="17"/>
  <c r="N110" i="17" s="1"/>
  <c r="O110" i="17" s="1"/>
  <c r="P110" i="17" s="1"/>
  <c r="K87" i="18"/>
  <c r="K86" i="18"/>
  <c r="K85" i="18"/>
  <c r="K84" i="18"/>
  <c r="K83" i="18"/>
  <c r="K82" i="18"/>
  <c r="K80" i="18"/>
  <c r="K79" i="18"/>
  <c r="K78" i="18"/>
  <c r="K77" i="18"/>
  <c r="K76" i="18"/>
  <c r="K75" i="18"/>
  <c r="K74" i="18"/>
  <c r="K73" i="18"/>
  <c r="O72" i="18"/>
  <c r="N72" i="18"/>
  <c r="K72" i="18"/>
  <c r="K71" i="18"/>
  <c r="M70" i="18"/>
  <c r="L70" i="18"/>
  <c r="K70" i="18"/>
  <c r="K69" i="18"/>
  <c r="K67" i="18"/>
  <c r="K66" i="18"/>
  <c r="K65" i="18"/>
  <c r="K64" i="18"/>
  <c r="K63" i="18"/>
  <c r="K62" i="18"/>
  <c r="K61" i="18"/>
  <c r="K60" i="18"/>
  <c r="W59" i="18"/>
  <c r="K59" i="18"/>
  <c r="X58" i="18"/>
  <c r="V58" i="18"/>
  <c r="U58" i="18"/>
  <c r="X60" i="18" s="1"/>
  <c r="T58" i="18"/>
  <c r="S58" i="18"/>
  <c r="W58" i="18" s="1"/>
  <c r="K58" i="18"/>
  <c r="X57" i="18"/>
  <c r="W57" i="18"/>
  <c r="K57" i="18"/>
  <c r="K56" i="18"/>
  <c r="K54" i="18"/>
  <c r="O53" i="18"/>
  <c r="N53" i="18"/>
  <c r="K53" i="18"/>
  <c r="K52" i="18"/>
  <c r="M51" i="18"/>
  <c r="L51" i="18"/>
  <c r="K51" i="18"/>
  <c r="V50" i="18"/>
  <c r="U50" i="18"/>
  <c r="X52" i="18" s="1"/>
  <c r="T50" i="18"/>
  <c r="S50" i="18"/>
  <c r="K50" i="18"/>
  <c r="K49" i="18"/>
  <c r="K48" i="18"/>
  <c r="K47" i="18"/>
  <c r="K46" i="18"/>
  <c r="K45" i="18"/>
  <c r="K44" i="18"/>
  <c r="K43" i="18"/>
  <c r="K41" i="18"/>
  <c r="K40" i="18"/>
  <c r="K39" i="18"/>
  <c r="K38" i="18"/>
  <c r="K37" i="18"/>
  <c r="K36" i="18"/>
  <c r="K35" i="18"/>
  <c r="K34" i="18"/>
  <c r="O33" i="18"/>
  <c r="N33" i="18"/>
  <c r="K33" i="18"/>
  <c r="K32" i="18"/>
  <c r="M31" i="18"/>
  <c r="L31" i="18"/>
  <c r="K31" i="18"/>
  <c r="K30" i="18"/>
  <c r="K28" i="18"/>
  <c r="K27" i="18"/>
  <c r="K26" i="18"/>
  <c r="K25" i="18"/>
  <c r="K24" i="18"/>
  <c r="K23" i="18"/>
  <c r="K22" i="18"/>
  <c r="K21" i="18"/>
  <c r="K20" i="18"/>
  <c r="K19" i="18"/>
  <c r="K18" i="18"/>
  <c r="K17" i="18"/>
  <c r="K15" i="18"/>
  <c r="K14" i="18"/>
  <c r="K13" i="18"/>
  <c r="K12" i="18"/>
  <c r="K11" i="18"/>
  <c r="K10" i="18"/>
  <c r="O9" i="18"/>
  <c r="N9" i="18"/>
  <c r="K9" i="18"/>
  <c r="K8" i="18"/>
  <c r="M7" i="18"/>
  <c r="L7" i="18"/>
  <c r="K7" i="18"/>
  <c r="K6" i="18"/>
  <c r="K5" i="18"/>
  <c r="X160" i="16"/>
  <c r="Y160" i="16" s="1"/>
  <c r="X159" i="16"/>
  <c r="Y159" i="16" s="1"/>
  <c r="X158" i="16"/>
  <c r="Y158" i="16" s="1"/>
  <c r="X157" i="16"/>
  <c r="Y157" i="16" s="1"/>
  <c r="X156" i="16"/>
  <c r="Y156" i="16" s="1"/>
  <c r="X155" i="16"/>
  <c r="X126" i="16"/>
  <c r="Y126" i="16" s="1"/>
  <c r="X125" i="16"/>
  <c r="Y125" i="16" s="1"/>
  <c r="X124" i="16"/>
  <c r="Y124" i="16" s="1"/>
  <c r="X123" i="16"/>
  <c r="Y123" i="16" s="1"/>
  <c r="X122" i="16"/>
  <c r="Y122" i="16" s="1"/>
  <c r="Y127" i="16" s="1"/>
  <c r="X121" i="16"/>
  <c r="X89" i="16"/>
  <c r="Y89" i="16" s="1"/>
  <c r="X88" i="16"/>
  <c r="Y88" i="16" s="1"/>
  <c r="X87" i="16"/>
  <c r="Y87" i="16" s="1"/>
  <c r="X86" i="16"/>
  <c r="Y86" i="16" s="1"/>
  <c r="X85" i="16"/>
  <c r="Y85" i="16" s="1"/>
  <c r="Y90" i="16" s="1"/>
  <c r="X84" i="16"/>
  <c r="AF70" i="16"/>
  <c r="AF75" i="8" s="1"/>
  <c r="AF69" i="16"/>
  <c r="AF74" i="8" s="1"/>
  <c r="AF68" i="16"/>
  <c r="AF73" i="8" s="1"/>
  <c r="AF67" i="16"/>
  <c r="AF72" i="8" s="1"/>
  <c r="AF66" i="16"/>
  <c r="AF71" i="8" s="1"/>
  <c r="AH65" i="16"/>
  <c r="AF65" i="16"/>
  <c r="AF70" i="8" s="1"/>
  <c r="AF64" i="16"/>
  <c r="AF69" i="8" s="1"/>
  <c r="AF63" i="16"/>
  <c r="AF68" i="8" s="1"/>
  <c r="AF62" i="16"/>
  <c r="AF61" i="16"/>
  <c r="AF66" i="8" s="1"/>
  <c r="AH60" i="16"/>
  <c r="AF60" i="16"/>
  <c r="AF65" i="8" s="1"/>
  <c r="AF59" i="16"/>
  <c r="AF58" i="16"/>
  <c r="AF63" i="8" s="1"/>
  <c r="AF57" i="16"/>
  <c r="AF62" i="8" s="1"/>
  <c r="AF56" i="16"/>
  <c r="AF61" i="8" s="1"/>
  <c r="AF55" i="16"/>
  <c r="AF54" i="16"/>
  <c r="AF59" i="8" s="1"/>
  <c r="AF53" i="16"/>
  <c r="AF58" i="8" s="1"/>
  <c r="Y53" i="16"/>
  <c r="AF52" i="16"/>
  <c r="AF57" i="8" s="1"/>
  <c r="Y52" i="16"/>
  <c r="X52" i="16"/>
  <c r="AF51" i="16"/>
  <c r="AF56" i="8" s="1"/>
  <c r="X51" i="16"/>
  <c r="Y51" i="16" s="1"/>
  <c r="AF50" i="16"/>
  <c r="AF55" i="8" s="1"/>
  <c r="Y50" i="16"/>
  <c r="X50" i="16"/>
  <c r="AF49" i="16"/>
  <c r="AF51" i="8" s="1"/>
  <c r="Y49" i="16"/>
  <c r="X49" i="16"/>
  <c r="AF48" i="16"/>
  <c r="AF50" i="8" s="1"/>
  <c r="Y48" i="16"/>
  <c r="X48" i="16"/>
  <c r="AF47" i="16"/>
  <c r="AF49" i="8" s="1"/>
  <c r="X47" i="16"/>
  <c r="AF46" i="16"/>
  <c r="AF48" i="8" s="1"/>
  <c r="AH45" i="16"/>
  <c r="AF45" i="16"/>
  <c r="AF47" i="8" s="1"/>
  <c r="AF44" i="16"/>
  <c r="AF46" i="8" s="1"/>
  <c r="AF43" i="16"/>
  <c r="AF45" i="8" s="1"/>
  <c r="AF42" i="16"/>
  <c r="AF44" i="8" s="1"/>
  <c r="AF41" i="16"/>
  <c r="AF43" i="8" s="1"/>
  <c r="AF40" i="16"/>
  <c r="AF42" i="8" s="1"/>
  <c r="AF39" i="16"/>
  <c r="AF41" i="8" s="1"/>
  <c r="AF38" i="16"/>
  <c r="AF40" i="8" s="1"/>
  <c r="AF37" i="16"/>
  <c r="AF39" i="8" s="1"/>
  <c r="AF36" i="16"/>
  <c r="AF38" i="8" s="1"/>
  <c r="AF35" i="16"/>
  <c r="AF37" i="8" s="1"/>
  <c r="AF34" i="16"/>
  <c r="AF36" i="8" s="1"/>
  <c r="AF33" i="16"/>
  <c r="AF35" i="8" s="1"/>
  <c r="AF32" i="16"/>
  <c r="AF34" i="8" s="1"/>
  <c r="AF31" i="16"/>
  <c r="AF33" i="8" s="1"/>
  <c r="AF30" i="16"/>
  <c r="AF32" i="8" s="1"/>
  <c r="AH29" i="16"/>
  <c r="AF29" i="16"/>
  <c r="AF31" i="8" s="1"/>
  <c r="AF28" i="16"/>
  <c r="AF27" i="8" s="1"/>
  <c r="AF27" i="16"/>
  <c r="AF26" i="8" s="1"/>
  <c r="AF26" i="16"/>
  <c r="AF25" i="8" s="1"/>
  <c r="AF25" i="16"/>
  <c r="AF24" i="8" s="1"/>
  <c r="AF24" i="16"/>
  <c r="AF23" i="8" s="1"/>
  <c r="AH23" i="16"/>
  <c r="AF23" i="16"/>
  <c r="AF22" i="8" s="1"/>
  <c r="AF22" i="16"/>
  <c r="AF21" i="8" s="1"/>
  <c r="AF21" i="16"/>
  <c r="AF20" i="8" s="1"/>
  <c r="AF20" i="16"/>
  <c r="AF19" i="8" s="1"/>
  <c r="AF19" i="16"/>
  <c r="AF18" i="8" s="1"/>
  <c r="AF18" i="16"/>
  <c r="AF17" i="8" s="1"/>
  <c r="AK17" i="16"/>
  <c r="AF17" i="16"/>
  <c r="AF16" i="8" s="1"/>
  <c r="AG16" i="8" s="1"/>
  <c r="L15" i="10" s="1"/>
  <c r="AK16" i="16"/>
  <c r="AF16" i="16"/>
  <c r="AK15" i="16"/>
  <c r="AF15" i="16"/>
  <c r="AF14" i="8" s="1"/>
  <c r="AF14" i="16"/>
  <c r="AF13" i="8" s="1"/>
  <c r="AF13" i="16"/>
  <c r="AF12" i="8" s="1"/>
  <c r="X13" i="16"/>
  <c r="Y13" i="16" s="1"/>
  <c r="AF12" i="16"/>
  <c r="AF11" i="8" s="1"/>
  <c r="Y12" i="16"/>
  <c r="X12" i="16"/>
  <c r="AF11" i="16"/>
  <c r="AF10" i="8" s="1"/>
  <c r="X11" i="16"/>
  <c r="Y11" i="16" s="1"/>
  <c r="AH10" i="16"/>
  <c r="AF10" i="16"/>
  <c r="AF9" i="8" s="1"/>
  <c r="X10" i="16"/>
  <c r="Y10" i="16" s="1"/>
  <c r="AK9" i="16"/>
  <c r="AF9" i="16"/>
  <c r="AF8" i="8" s="1"/>
  <c r="X9" i="16"/>
  <c r="Y9" i="16" s="1"/>
  <c r="AK8" i="16"/>
  <c r="AF8" i="16"/>
  <c r="AF7" i="8" s="1"/>
  <c r="X8" i="16"/>
  <c r="AM7" i="16"/>
  <c r="AK7" i="16"/>
  <c r="P56" i="9"/>
  <c r="Q56" i="9" s="1"/>
  <c r="I56" i="9"/>
  <c r="J56" i="9" s="1"/>
  <c r="Q47" i="9"/>
  <c r="P47" i="9"/>
  <c r="I47" i="9"/>
  <c r="J47" i="9" s="1"/>
  <c r="P35" i="9"/>
  <c r="Q35" i="9" s="1"/>
  <c r="I35" i="9"/>
  <c r="J35" i="9" s="1"/>
  <c r="Y29" i="9"/>
  <c r="Y28" i="9"/>
  <c r="Y27" i="9"/>
  <c r="Y26" i="9"/>
  <c r="P26" i="9"/>
  <c r="Q26" i="9" s="1"/>
  <c r="I26" i="9"/>
  <c r="J26" i="9" s="1"/>
  <c r="Y24" i="9"/>
  <c r="Y23" i="9"/>
  <c r="Y22" i="9"/>
  <c r="Z21" i="9"/>
  <c r="AA21" i="9" s="1"/>
  <c r="AB21" i="9" s="1"/>
  <c r="Y21" i="9"/>
  <c r="Y14" i="9"/>
  <c r="Q14" i="9"/>
  <c r="P14" i="9"/>
  <c r="J14" i="9"/>
  <c r="I14" i="9"/>
  <c r="Y13" i="9"/>
  <c r="Y12" i="9"/>
  <c r="Y9" i="9"/>
  <c r="Y8" i="9"/>
  <c r="Y7" i="9"/>
  <c r="Z6" i="9" s="1"/>
  <c r="AA6" i="9" s="1"/>
  <c r="AB6" i="9" s="1"/>
  <c r="Q5" i="9"/>
  <c r="P5" i="9"/>
  <c r="J5" i="9"/>
  <c r="I5" i="9"/>
  <c r="W78" i="13"/>
  <c r="U78" i="13"/>
  <c r="V78" i="13" s="1"/>
  <c r="E75" i="8" s="1"/>
  <c r="W77" i="13"/>
  <c r="V77" i="13"/>
  <c r="E74" i="8" s="1"/>
  <c r="U77" i="13"/>
  <c r="V76" i="13"/>
  <c r="E73" i="8" s="1"/>
  <c r="U76" i="13"/>
  <c r="W76" i="13" s="1"/>
  <c r="V75" i="13"/>
  <c r="E72" i="8" s="1"/>
  <c r="U75" i="13"/>
  <c r="W75" i="13" s="1"/>
  <c r="W74" i="13"/>
  <c r="U74" i="13"/>
  <c r="W73" i="13"/>
  <c r="X73" i="13" s="1"/>
  <c r="X74" i="13" s="1"/>
  <c r="U73" i="13"/>
  <c r="V73" i="13" s="1"/>
  <c r="E71" i="8" s="1"/>
  <c r="U72" i="13"/>
  <c r="W72" i="13" s="1"/>
  <c r="X71" i="13" s="1"/>
  <c r="X72" i="13" s="1"/>
  <c r="W71" i="13"/>
  <c r="U71" i="13"/>
  <c r="W70" i="13"/>
  <c r="V70" i="13"/>
  <c r="E69" i="8" s="1"/>
  <c r="U70" i="13"/>
  <c r="W69" i="13"/>
  <c r="V69" i="13"/>
  <c r="E68" i="8" s="1"/>
  <c r="U69" i="13"/>
  <c r="U68" i="13"/>
  <c r="V68" i="13" s="1"/>
  <c r="E67" i="8" s="1"/>
  <c r="W67" i="13"/>
  <c r="V67" i="13"/>
  <c r="E66" i="8" s="1"/>
  <c r="U67" i="13"/>
  <c r="W66" i="13"/>
  <c r="V66" i="13"/>
  <c r="E65" i="8" s="1"/>
  <c r="U66" i="13"/>
  <c r="U65" i="13"/>
  <c r="W65" i="13" s="1"/>
  <c r="W64" i="13"/>
  <c r="V64" i="13"/>
  <c r="E63" i="8" s="1"/>
  <c r="U64" i="13"/>
  <c r="W63" i="13"/>
  <c r="V63" i="13"/>
  <c r="E62" i="8" s="1"/>
  <c r="U63" i="13"/>
  <c r="V62" i="13"/>
  <c r="E61" i="8" s="1"/>
  <c r="I61" i="8" s="1"/>
  <c r="H54" i="10" s="1"/>
  <c r="N62" i="11" s="1"/>
  <c r="O62" i="11" s="1"/>
  <c r="U62" i="13"/>
  <c r="W62" i="13" s="1"/>
  <c r="W61" i="13"/>
  <c r="U61" i="13"/>
  <c r="V61" i="13" s="1"/>
  <c r="E60" i="8" s="1"/>
  <c r="W60" i="13"/>
  <c r="V60" i="13"/>
  <c r="E59" i="8" s="1"/>
  <c r="U60" i="13"/>
  <c r="U59" i="13"/>
  <c r="W59" i="13" s="1"/>
  <c r="V58" i="13"/>
  <c r="E57" i="8" s="1"/>
  <c r="U58" i="13"/>
  <c r="W58" i="13" s="1"/>
  <c r="U57" i="13"/>
  <c r="W57" i="13" s="1"/>
  <c r="W56" i="13"/>
  <c r="V56" i="13"/>
  <c r="E55" i="8" s="1"/>
  <c r="U56" i="13"/>
  <c r="B55" i="13"/>
  <c r="U53" i="13"/>
  <c r="W53" i="13" s="1"/>
  <c r="W52" i="13"/>
  <c r="V52" i="13"/>
  <c r="E50" i="8" s="1"/>
  <c r="U52" i="13"/>
  <c r="W51" i="13"/>
  <c r="V51" i="13"/>
  <c r="E49" i="8" s="1"/>
  <c r="U51" i="13"/>
  <c r="V50" i="13"/>
  <c r="E48" i="8" s="1"/>
  <c r="U50" i="13"/>
  <c r="W50" i="13" s="1"/>
  <c r="U49" i="13"/>
  <c r="W49" i="13" s="1"/>
  <c r="U48" i="13"/>
  <c r="W48" i="13" s="1"/>
  <c r="W47" i="13"/>
  <c r="X46" i="13" s="1"/>
  <c r="X47" i="13" s="1"/>
  <c r="U47" i="13"/>
  <c r="V46" i="13" s="1"/>
  <c r="E46" i="8" s="1"/>
  <c r="W46" i="13"/>
  <c r="U46" i="13"/>
  <c r="U45" i="13"/>
  <c r="W45" i="13" s="1"/>
  <c r="V44" i="13"/>
  <c r="E44" i="8" s="1"/>
  <c r="U44" i="13"/>
  <c r="W44" i="13" s="1"/>
  <c r="U43" i="13"/>
  <c r="W43" i="13" s="1"/>
  <c r="W42" i="13"/>
  <c r="V42" i="13"/>
  <c r="E42" i="8" s="1"/>
  <c r="U42" i="13"/>
  <c r="W41" i="13"/>
  <c r="V41" i="13"/>
  <c r="E41" i="8" s="1"/>
  <c r="U41" i="13"/>
  <c r="V40" i="13"/>
  <c r="E40" i="8" s="1"/>
  <c r="U40" i="13"/>
  <c r="W40" i="13" s="1"/>
  <c r="W39" i="13"/>
  <c r="U39" i="13"/>
  <c r="V39" i="13" s="1"/>
  <c r="E39" i="8" s="1"/>
  <c r="W38" i="13"/>
  <c r="V38" i="13"/>
  <c r="E38" i="8" s="1"/>
  <c r="U38" i="13"/>
  <c r="U37" i="13"/>
  <c r="W37" i="13" s="1"/>
  <c r="V36" i="13"/>
  <c r="E36" i="8" s="1"/>
  <c r="U36" i="13"/>
  <c r="W36" i="13" s="1"/>
  <c r="U35" i="13"/>
  <c r="W35" i="13" s="1"/>
  <c r="W34" i="13"/>
  <c r="V34" i="13"/>
  <c r="E34" i="8" s="1"/>
  <c r="U34" i="13"/>
  <c r="W33" i="13"/>
  <c r="V33" i="13"/>
  <c r="E33" i="8" s="1"/>
  <c r="U33" i="13"/>
  <c r="V32" i="13"/>
  <c r="E32" i="8" s="1"/>
  <c r="U32" i="13"/>
  <c r="W32" i="13" s="1"/>
  <c r="W31" i="13"/>
  <c r="U31" i="13"/>
  <c r="V31" i="13" s="1"/>
  <c r="E31" i="8" s="1"/>
  <c r="B30" i="13"/>
  <c r="V28" i="13"/>
  <c r="E27" i="8" s="1"/>
  <c r="U28" i="13"/>
  <c r="W28" i="13" s="1"/>
  <c r="W27" i="13"/>
  <c r="U27" i="13"/>
  <c r="V27" i="13" s="1"/>
  <c r="E26" i="8" s="1"/>
  <c r="W26" i="13"/>
  <c r="V26" i="13"/>
  <c r="E25" i="8" s="1"/>
  <c r="U26" i="13"/>
  <c r="U25" i="13"/>
  <c r="W25" i="13" s="1"/>
  <c r="V24" i="13"/>
  <c r="E23" i="8" s="1"/>
  <c r="U24" i="13"/>
  <c r="W24" i="13" s="1"/>
  <c r="U23" i="13"/>
  <c r="W23" i="13" s="1"/>
  <c r="W22" i="13"/>
  <c r="U22" i="13"/>
  <c r="V22" i="13" s="1"/>
  <c r="E22" i="8" s="1"/>
  <c r="W21" i="13"/>
  <c r="V21" i="13"/>
  <c r="E21" i="8" s="1"/>
  <c r="U21" i="13"/>
  <c r="U20" i="13"/>
  <c r="W20" i="13" s="1"/>
  <c r="V19" i="13"/>
  <c r="E19" i="8" s="1"/>
  <c r="U19" i="13"/>
  <c r="W19" i="13" s="1"/>
  <c r="U18" i="13"/>
  <c r="W18" i="13" s="1"/>
  <c r="W17" i="13"/>
  <c r="U17" i="13"/>
  <c r="V17" i="13" s="1"/>
  <c r="E18" i="8" s="1"/>
  <c r="W16" i="13"/>
  <c r="V16" i="13"/>
  <c r="E17" i="8" s="1"/>
  <c r="U16" i="13"/>
  <c r="U15" i="13"/>
  <c r="W15" i="13" s="1"/>
  <c r="V14" i="13"/>
  <c r="E15" i="8" s="1"/>
  <c r="U14" i="13"/>
  <c r="W14" i="13" s="1"/>
  <c r="U13" i="13"/>
  <c r="W13" i="13" s="1"/>
  <c r="W12" i="13"/>
  <c r="V12" i="13"/>
  <c r="E13" i="8" s="1"/>
  <c r="U12" i="13"/>
  <c r="W11" i="13"/>
  <c r="V11" i="13"/>
  <c r="E12" i="8" s="1"/>
  <c r="U11" i="13"/>
  <c r="V10" i="13"/>
  <c r="E11" i="8" s="1"/>
  <c r="U10" i="13"/>
  <c r="W10" i="13" s="1"/>
  <c r="W9" i="13"/>
  <c r="U9" i="13"/>
  <c r="V9" i="13" s="1"/>
  <c r="E10" i="8" s="1"/>
  <c r="W8" i="13"/>
  <c r="V8" i="13"/>
  <c r="E9" i="8" s="1"/>
  <c r="U8" i="13"/>
  <c r="U7" i="13"/>
  <c r="W7" i="13" s="1"/>
  <c r="V6" i="13"/>
  <c r="E7" i="8" s="1"/>
  <c r="U6" i="13"/>
  <c r="W6" i="13" s="1"/>
  <c r="B5" i="13"/>
  <c r="A5" i="13"/>
  <c r="A53" i="7"/>
  <c r="A54" i="8" s="1"/>
  <c r="A55" i="13" s="1"/>
  <c r="I29" i="7"/>
  <c r="I53" i="7" s="1"/>
  <c r="A29" i="7"/>
  <c r="A30" i="8" s="1"/>
  <c r="A30" i="13" s="1"/>
  <c r="C19" i="6"/>
  <c r="C20" i="6" s="1"/>
  <c r="H18" i="6"/>
  <c r="C18" i="6"/>
  <c r="B17" i="6"/>
  <c r="B18" i="6" s="1"/>
  <c r="H16" i="6"/>
  <c r="G16" i="6"/>
  <c r="B23" i="1"/>
  <c r="B17" i="1"/>
  <c r="C16" i="1"/>
  <c r="B16" i="1"/>
  <c r="C15" i="1"/>
  <c r="F12" i="1"/>
  <c r="E12" i="1"/>
  <c r="D12" i="1"/>
  <c r="E11" i="1"/>
  <c r="F11" i="1" s="1"/>
  <c r="D11" i="1"/>
  <c r="C11" i="1"/>
  <c r="C10" i="1"/>
  <c r="E10" i="1" s="1"/>
  <c r="F10" i="1" s="1"/>
  <c r="E9" i="1"/>
  <c r="F9" i="1" s="1"/>
  <c r="D9" i="1"/>
  <c r="C9" i="1"/>
  <c r="K32" i="10" l="1"/>
  <c r="AG36" i="8"/>
  <c r="X17" i="13"/>
  <c r="X18" i="13" s="1"/>
  <c r="G21" i="10"/>
  <c r="K18" i="10"/>
  <c r="AG19" i="8"/>
  <c r="X22" i="13"/>
  <c r="X23" i="13" s="1"/>
  <c r="G25" i="10"/>
  <c r="I26" i="8"/>
  <c r="H25" i="10" s="1"/>
  <c r="N33" i="11" s="1"/>
  <c r="O33" i="11" s="1"/>
  <c r="X48" i="13"/>
  <c r="X49" i="13" s="1"/>
  <c r="R57" i="17"/>
  <c r="T57" i="17" s="1"/>
  <c r="AC26" i="8" s="1"/>
  <c r="V25" i="10" s="1"/>
  <c r="Q57" i="17"/>
  <c r="S57" i="17" s="1"/>
  <c r="AB26" i="8" s="1"/>
  <c r="T25" i="10" s="1"/>
  <c r="R67" i="17"/>
  <c r="T67" i="17" s="1"/>
  <c r="AC37" i="8" s="1"/>
  <c r="V33" i="10" s="1"/>
  <c r="Q67" i="17"/>
  <c r="S67" i="17" s="1"/>
  <c r="AB37" i="8" s="1"/>
  <c r="T33" i="10" s="1"/>
  <c r="G8" i="10"/>
  <c r="J9" i="8"/>
  <c r="I8" i="10" s="1"/>
  <c r="I9" i="8"/>
  <c r="H8" i="10" s="1"/>
  <c r="N16" i="11" s="1"/>
  <c r="O16" i="11" s="1"/>
  <c r="Y14" i="16"/>
  <c r="K49" i="10"/>
  <c r="AG56" i="8"/>
  <c r="K61" i="10"/>
  <c r="AG68" i="8"/>
  <c r="AA127" i="16"/>
  <c r="Y128" i="16"/>
  <c r="R102" i="17"/>
  <c r="T102" i="17" s="1"/>
  <c r="Q102" i="17"/>
  <c r="S102" i="17" s="1"/>
  <c r="H19" i="6"/>
  <c r="C21" i="6"/>
  <c r="K40" i="10"/>
  <c r="AG44" i="8"/>
  <c r="G16" i="10"/>
  <c r="J17" i="8"/>
  <c r="I16" i="10" s="1"/>
  <c r="I17" i="8"/>
  <c r="H16" i="10" s="1"/>
  <c r="N24" i="11" s="1"/>
  <c r="O24" i="11" s="1"/>
  <c r="R76" i="17"/>
  <c r="T76" i="17" s="1"/>
  <c r="AC45" i="8" s="1"/>
  <c r="V41" i="10" s="1"/>
  <c r="Q76" i="17"/>
  <c r="S76" i="17" s="1"/>
  <c r="AB45" i="8" s="1"/>
  <c r="T41" i="10" s="1"/>
  <c r="G9" i="10"/>
  <c r="G27" i="10"/>
  <c r="I31" i="8"/>
  <c r="H27" i="10" s="1"/>
  <c r="N35" i="11" s="1"/>
  <c r="O35" i="11" s="1"/>
  <c r="J31" i="8"/>
  <c r="I27" i="10" s="1"/>
  <c r="Z27" i="10" s="1"/>
  <c r="AI27" i="10" s="1"/>
  <c r="AQ27" i="10" s="1"/>
  <c r="K10" i="10"/>
  <c r="AG11" i="8"/>
  <c r="K28" i="10"/>
  <c r="AG32" i="8"/>
  <c r="K36" i="10"/>
  <c r="AG40" i="8"/>
  <c r="K56" i="10"/>
  <c r="AG63" i="8"/>
  <c r="L56" i="10" s="1"/>
  <c r="AA90" i="16"/>
  <c r="Y91" i="16"/>
  <c r="Q107" i="17"/>
  <c r="S107" i="17" s="1"/>
  <c r="AB69" i="8" s="1"/>
  <c r="T62" i="10" s="1"/>
  <c r="R107" i="17"/>
  <c r="T107" i="17" s="1"/>
  <c r="AC69" i="8" s="1"/>
  <c r="V62" i="10" s="1"/>
  <c r="K6" i="10"/>
  <c r="AG7" i="8"/>
  <c r="G12" i="10"/>
  <c r="J13" i="8"/>
  <c r="I12" i="10" s="1"/>
  <c r="I13" i="8"/>
  <c r="H12" i="10" s="1"/>
  <c r="N20" i="11" s="1"/>
  <c r="O20" i="11" s="1"/>
  <c r="G20" i="10"/>
  <c r="J21" i="8"/>
  <c r="I20" i="10" s="1"/>
  <c r="I21" i="8"/>
  <c r="H20" i="10" s="1"/>
  <c r="N28" i="11" s="1"/>
  <c r="O28" i="11" s="1"/>
  <c r="G17" i="6"/>
  <c r="B19" i="6"/>
  <c r="G17" i="10"/>
  <c r="I18" i="8"/>
  <c r="H17" i="10" s="1"/>
  <c r="N25" i="11" s="1"/>
  <c r="O25" i="11" s="1"/>
  <c r="G35" i="10"/>
  <c r="G42" i="10"/>
  <c r="G53" i="10"/>
  <c r="J60" i="8"/>
  <c r="I53" i="10" s="1"/>
  <c r="Z53" i="10" s="1"/>
  <c r="AI53" i="10" s="1"/>
  <c r="AQ53" i="10" s="1"/>
  <c r="K22" i="10"/>
  <c r="AG23" i="8"/>
  <c r="K44" i="10"/>
  <c r="AG48" i="8"/>
  <c r="G59" i="10"/>
  <c r="K12" i="10"/>
  <c r="W12" i="10" s="1"/>
  <c r="K30" i="10"/>
  <c r="AG34" i="8"/>
  <c r="K58" i="10"/>
  <c r="AG65" i="8"/>
  <c r="L58" i="10" s="1"/>
  <c r="AF39" i="10"/>
  <c r="M47" i="11" s="1"/>
  <c r="D10" i="1"/>
  <c r="V7" i="13"/>
  <c r="E8" i="8" s="1"/>
  <c r="V15" i="13"/>
  <c r="E16" i="8" s="1"/>
  <c r="V20" i="13"/>
  <c r="E20" i="8" s="1"/>
  <c r="V25" i="13"/>
  <c r="E24" i="8" s="1"/>
  <c r="V37" i="13"/>
  <c r="E37" i="8" s="1"/>
  <c r="V45" i="13"/>
  <c r="E45" i="8" s="1"/>
  <c r="V59" i="13"/>
  <c r="E58" i="8" s="1"/>
  <c r="G64" i="10"/>
  <c r="J71" i="8"/>
  <c r="I64" i="10" s="1"/>
  <c r="Z64" i="10" s="1"/>
  <c r="AI64" i="10" s="1"/>
  <c r="AQ64" i="10" s="1"/>
  <c r="K17" i="10"/>
  <c r="AG18" i="8"/>
  <c r="K24" i="10"/>
  <c r="K31" i="10"/>
  <c r="AI35" i="8"/>
  <c r="AG35" i="8"/>
  <c r="L31" i="10" s="1"/>
  <c r="K39" i="10"/>
  <c r="AG43" i="8"/>
  <c r="L39" i="10" s="1"/>
  <c r="K45" i="10"/>
  <c r="AG49" i="8"/>
  <c r="L45" i="10" s="1"/>
  <c r="K51" i="10"/>
  <c r="AG58" i="8"/>
  <c r="K65" i="10"/>
  <c r="AG72" i="8"/>
  <c r="AF10" i="10"/>
  <c r="M18" i="11" s="1"/>
  <c r="AF18" i="10"/>
  <c r="M26" i="11" s="1"/>
  <c r="AG25" i="8"/>
  <c r="L24" i="10" s="1"/>
  <c r="N39" i="10"/>
  <c r="AH43" i="8"/>
  <c r="H47" i="8"/>
  <c r="K53" i="10"/>
  <c r="W53" i="10" s="1"/>
  <c r="AG60" i="8"/>
  <c r="G38" i="10"/>
  <c r="G46" i="10"/>
  <c r="G56" i="10"/>
  <c r="K16" i="10"/>
  <c r="W16" i="10" s="1"/>
  <c r="AA53" i="16"/>
  <c r="Y54" i="16"/>
  <c r="R55" i="17"/>
  <c r="T55" i="17" s="1"/>
  <c r="AC24" i="8" s="1"/>
  <c r="V23" i="10" s="1"/>
  <c r="Q55" i="17"/>
  <c r="S55" i="17" s="1"/>
  <c r="AB24" i="8" s="1"/>
  <c r="T23" i="10" s="1"/>
  <c r="R86" i="17"/>
  <c r="T86" i="17" s="1"/>
  <c r="AC51" i="8" s="1"/>
  <c r="V47" i="10" s="1"/>
  <c r="Q86" i="17"/>
  <c r="S86" i="17" s="1"/>
  <c r="AB51" i="8" s="1"/>
  <c r="T47" i="10" s="1"/>
  <c r="R115" i="17"/>
  <c r="T115" i="17" s="1"/>
  <c r="Q115" i="17"/>
  <c r="S115" i="17" s="1"/>
  <c r="AG13" i="8"/>
  <c r="L12" i="10" s="1"/>
  <c r="L19" i="10"/>
  <c r="AH20" i="8"/>
  <c r="G10" i="10"/>
  <c r="J11" i="8"/>
  <c r="I10" i="10" s="1"/>
  <c r="I11" i="8"/>
  <c r="H10" i="10" s="1"/>
  <c r="N18" i="11" s="1"/>
  <c r="O18" i="11" s="1"/>
  <c r="G36" i="10"/>
  <c r="G54" i="10"/>
  <c r="J61" i="8"/>
  <c r="I54" i="10" s="1"/>
  <c r="Z28" i="11"/>
  <c r="AA28" i="11" s="1"/>
  <c r="Z20" i="10"/>
  <c r="AI20" i="10" s="1"/>
  <c r="AQ20" i="10" s="1"/>
  <c r="N43" i="10"/>
  <c r="AD52" i="10"/>
  <c r="K60" i="11" s="1"/>
  <c r="H59" i="8"/>
  <c r="V13" i="13"/>
  <c r="E14" i="8" s="1"/>
  <c r="V35" i="13"/>
  <c r="E35" i="8" s="1"/>
  <c r="V43" i="13"/>
  <c r="E43" i="8" s="1"/>
  <c r="V48" i="13"/>
  <c r="E47" i="8" s="1"/>
  <c r="V53" i="13"/>
  <c r="E51" i="8" s="1"/>
  <c r="V57" i="13"/>
  <c r="E56" i="8" s="1"/>
  <c r="V65" i="13"/>
  <c r="E64" i="8" s="1"/>
  <c r="W68" i="13"/>
  <c r="V71" i="13"/>
  <c r="E70" i="8" s="1"/>
  <c r="K19" i="10"/>
  <c r="K26" i="10"/>
  <c r="AG27" i="8"/>
  <c r="K33" i="10"/>
  <c r="AG37" i="8"/>
  <c r="K41" i="10"/>
  <c r="AG45" i="8"/>
  <c r="AC14" i="10"/>
  <c r="J22" i="11" s="1"/>
  <c r="V15" i="8"/>
  <c r="AE14" i="10" s="1"/>
  <c r="L22" i="11" s="1"/>
  <c r="AC22" i="10"/>
  <c r="J30" i="11" s="1"/>
  <c r="V23" i="8"/>
  <c r="AE22" i="10" s="1"/>
  <c r="L30" i="11" s="1"/>
  <c r="N47" i="10"/>
  <c r="AF48" i="10"/>
  <c r="M56" i="11" s="1"/>
  <c r="W55" i="8"/>
  <c r="K57" i="10"/>
  <c r="AG64" i="8"/>
  <c r="K60" i="10"/>
  <c r="AG67" i="8"/>
  <c r="L60" i="10" s="1"/>
  <c r="G30" i="10"/>
  <c r="G48" i="10"/>
  <c r="E92" i="8"/>
  <c r="I55" i="8"/>
  <c r="H48" i="10" s="1"/>
  <c r="N56" i="11" s="1"/>
  <c r="O56" i="11" s="1"/>
  <c r="J55" i="8"/>
  <c r="I48" i="10" s="1"/>
  <c r="G62" i="10"/>
  <c r="K7" i="10"/>
  <c r="K23" i="10"/>
  <c r="K64" i="10"/>
  <c r="AG71" i="8"/>
  <c r="L64" i="10" s="1"/>
  <c r="L11" i="10"/>
  <c r="AH12" i="8"/>
  <c r="G28" i="10"/>
  <c r="J32" i="8"/>
  <c r="I28" i="10" s="1"/>
  <c r="Z28" i="10" s="1"/>
  <c r="AI28" i="10" s="1"/>
  <c r="AQ28" i="10" s="1"/>
  <c r="R38" i="17"/>
  <c r="T38" i="17" s="1"/>
  <c r="AC12" i="8" s="1"/>
  <c r="V11" i="10" s="1"/>
  <c r="Q38" i="17"/>
  <c r="S38" i="17" s="1"/>
  <c r="AB12" i="8" s="1"/>
  <c r="T11" i="10" s="1"/>
  <c r="R74" i="17"/>
  <c r="T74" i="17" s="1"/>
  <c r="AC43" i="8" s="1"/>
  <c r="V39" i="10" s="1"/>
  <c r="Q74" i="17"/>
  <c r="S74" i="17" s="1"/>
  <c r="AB43" i="8" s="1"/>
  <c r="T39" i="10" s="1"/>
  <c r="R106" i="17"/>
  <c r="T106" i="17" s="1"/>
  <c r="Q106" i="17"/>
  <c r="S106" i="17" s="1"/>
  <c r="Z20" i="11"/>
  <c r="AA20" i="11" s="1"/>
  <c r="Z12" i="10"/>
  <c r="AI12" i="10" s="1"/>
  <c r="AQ12" i="10" s="1"/>
  <c r="AF27" i="10"/>
  <c r="M35" i="11" s="1"/>
  <c r="W31" i="8"/>
  <c r="AF47" i="10"/>
  <c r="M55" i="11" s="1"/>
  <c r="H17" i="6"/>
  <c r="G24" i="10"/>
  <c r="G34" i="10"/>
  <c r="G52" i="10"/>
  <c r="J59" i="8"/>
  <c r="I52" i="10" s="1"/>
  <c r="I59" i="8"/>
  <c r="H52" i="10" s="1"/>
  <c r="N60" i="11" s="1"/>
  <c r="O60" i="11" s="1"/>
  <c r="K8" i="10"/>
  <c r="W8" i="10" s="1"/>
  <c r="K20" i="10"/>
  <c r="W20" i="10" s="1"/>
  <c r="K27" i="10"/>
  <c r="AG31" i="8"/>
  <c r="K34" i="10"/>
  <c r="AG38" i="8"/>
  <c r="K42" i="10"/>
  <c r="AG46" i="8"/>
  <c r="K46" i="10"/>
  <c r="AG50" i="8"/>
  <c r="K54" i="10"/>
  <c r="W54" i="10" s="1"/>
  <c r="AG61" i="8"/>
  <c r="L54" i="10" s="1"/>
  <c r="K68" i="10"/>
  <c r="AG75" i="8"/>
  <c r="R110" i="17"/>
  <c r="T110" i="17" s="1"/>
  <c r="AC71" i="8" s="1"/>
  <c r="V64" i="10" s="1"/>
  <c r="Q110" i="17"/>
  <c r="S110" i="17" s="1"/>
  <c r="AB71" i="8" s="1"/>
  <c r="T64" i="10" s="1"/>
  <c r="R35" i="17"/>
  <c r="T35" i="17" s="1"/>
  <c r="Q35" i="17"/>
  <c r="S35" i="17" s="1"/>
  <c r="R84" i="17"/>
  <c r="T84" i="17" s="1"/>
  <c r="AC49" i="8" s="1"/>
  <c r="V45" i="10" s="1"/>
  <c r="Q84" i="17"/>
  <c r="S84" i="17" s="1"/>
  <c r="AB49" i="8" s="1"/>
  <c r="T45" i="10" s="1"/>
  <c r="R93" i="17"/>
  <c r="T93" i="17" s="1"/>
  <c r="AC60" i="8" s="1"/>
  <c r="Q93" i="17"/>
  <c r="S93" i="17" s="1"/>
  <c r="AB60" i="8" s="1"/>
  <c r="T53" i="10" s="1"/>
  <c r="AG8" i="8"/>
  <c r="L7" i="10" s="1"/>
  <c r="AG9" i="8"/>
  <c r="L8" i="10" s="1"/>
  <c r="AG17" i="8"/>
  <c r="L16" i="10" s="1"/>
  <c r="AG24" i="8"/>
  <c r="H35" i="8"/>
  <c r="N48" i="10"/>
  <c r="N52" i="10"/>
  <c r="K13" i="10"/>
  <c r="AG14" i="8"/>
  <c r="K48" i="10"/>
  <c r="W48" i="10" s="1"/>
  <c r="AG55" i="8"/>
  <c r="L48" i="10" s="1"/>
  <c r="K59" i="10"/>
  <c r="AG66" i="8"/>
  <c r="L59" i="10" s="1"/>
  <c r="G11" i="10"/>
  <c r="J12" i="8"/>
  <c r="I11" i="10" s="1"/>
  <c r="Z11" i="10" s="1"/>
  <c r="AI11" i="10" s="1"/>
  <c r="AQ11" i="10" s="1"/>
  <c r="G29" i="10"/>
  <c r="G37" i="10"/>
  <c r="G45" i="10"/>
  <c r="G55" i="10"/>
  <c r="G58" i="10"/>
  <c r="G61" i="10"/>
  <c r="G67" i="10"/>
  <c r="J74" i="8"/>
  <c r="I67" i="10" s="1"/>
  <c r="Y67" i="10" s="1"/>
  <c r="AH67" i="10" s="1"/>
  <c r="AO67" i="10" s="1"/>
  <c r="K11" i="10"/>
  <c r="AI12" i="8"/>
  <c r="K21" i="10"/>
  <c r="AG22" i="8"/>
  <c r="K35" i="10"/>
  <c r="AG39" i="8"/>
  <c r="L35" i="10" s="1"/>
  <c r="K43" i="10"/>
  <c r="AG47" i="8"/>
  <c r="L43" i="10" s="1"/>
  <c r="K55" i="10"/>
  <c r="AG62" i="8"/>
  <c r="L55" i="10" s="1"/>
  <c r="K62" i="10"/>
  <c r="AG69" i="8"/>
  <c r="L62" i="10" s="1"/>
  <c r="H15" i="8"/>
  <c r="K14" i="10"/>
  <c r="AG15" i="8"/>
  <c r="H23" i="8"/>
  <c r="N31" i="10"/>
  <c r="AH35" i="8"/>
  <c r="G65" i="10"/>
  <c r="AG10" i="8"/>
  <c r="K9" i="10"/>
  <c r="K38" i="10"/>
  <c r="AG42" i="8"/>
  <c r="L20" i="10"/>
  <c r="AH21" i="8"/>
  <c r="R47" i="17"/>
  <c r="T47" i="17" s="1"/>
  <c r="AC18" i="8" s="1"/>
  <c r="V17" i="10" s="1"/>
  <c r="Q47" i="17"/>
  <c r="S47" i="17" s="1"/>
  <c r="AB18" i="8" s="1"/>
  <c r="T17" i="10" s="1"/>
  <c r="G14" i="10"/>
  <c r="J15" i="8"/>
  <c r="I14" i="10" s="1"/>
  <c r="I15" i="8"/>
  <c r="H14" i="10" s="1"/>
  <c r="N22" i="11" s="1"/>
  <c r="O22" i="11" s="1"/>
  <c r="G22" i="10"/>
  <c r="J23" i="8"/>
  <c r="I22" i="10" s="1"/>
  <c r="I23" i="8"/>
  <c r="H22" i="10" s="1"/>
  <c r="N30" i="11" s="1"/>
  <c r="O30" i="11" s="1"/>
  <c r="G32" i="10"/>
  <c r="G40" i="10"/>
  <c r="G50" i="10"/>
  <c r="K15" i="10"/>
  <c r="K63" i="10"/>
  <c r="AG70" i="8"/>
  <c r="L63" i="10" s="1"/>
  <c r="Y161" i="16"/>
  <c r="W52" i="18"/>
  <c r="W50" i="18"/>
  <c r="W53" i="18"/>
  <c r="W51" i="18"/>
  <c r="R36" i="17"/>
  <c r="T36" i="17" s="1"/>
  <c r="Q36" i="17"/>
  <c r="S36" i="17" s="1"/>
  <c r="R45" i="17"/>
  <c r="T45" i="17" s="1"/>
  <c r="AC16" i="8" s="1"/>
  <c r="V15" i="10" s="1"/>
  <c r="Q45" i="17"/>
  <c r="S45" i="17" s="1"/>
  <c r="AB16" i="8" s="1"/>
  <c r="T15" i="10" s="1"/>
  <c r="Z16" i="11"/>
  <c r="AA16" i="11" s="1"/>
  <c r="Z8" i="10"/>
  <c r="AI8" i="10" s="1"/>
  <c r="AQ8" i="10" s="1"/>
  <c r="Z24" i="11"/>
  <c r="AA24" i="11" s="1"/>
  <c r="Z16" i="10"/>
  <c r="AI16" i="10" s="1"/>
  <c r="AQ16" i="10" s="1"/>
  <c r="I33" i="8"/>
  <c r="H29" i="10" s="1"/>
  <c r="N37" i="11" s="1"/>
  <c r="O37" i="11" s="1"/>
  <c r="H39" i="8"/>
  <c r="J39" i="8" s="1"/>
  <c r="I35" i="10" s="1"/>
  <c r="Z35" i="10" s="1"/>
  <c r="AI35" i="10" s="1"/>
  <c r="AQ35" i="10" s="1"/>
  <c r="AC50" i="10"/>
  <c r="J58" i="11" s="1"/>
  <c r="V57" i="8"/>
  <c r="AE50" i="10" s="1"/>
  <c r="L58" i="11" s="1"/>
  <c r="H57" i="8"/>
  <c r="J57" i="8" s="1"/>
  <c r="I50" i="10" s="1"/>
  <c r="R95" i="17"/>
  <c r="T95" i="17" s="1"/>
  <c r="Q95" i="17"/>
  <c r="S95" i="17" s="1"/>
  <c r="G26" i="10"/>
  <c r="J27" i="8"/>
  <c r="I26" i="10" s="1"/>
  <c r="G44" i="10"/>
  <c r="G60" i="10"/>
  <c r="I67" i="8"/>
  <c r="H60" i="10" s="1"/>
  <c r="N68" i="11" s="1"/>
  <c r="O68" i="11" s="1"/>
  <c r="G66" i="10"/>
  <c r="J73" i="8"/>
  <c r="I66" i="10" s="1"/>
  <c r="I73" i="8"/>
  <c r="H66" i="10" s="1"/>
  <c r="N74" i="11" s="1"/>
  <c r="O74" i="11" s="1"/>
  <c r="K25" i="10"/>
  <c r="AG26" i="8"/>
  <c r="K52" i="10"/>
  <c r="W52" i="10" s="1"/>
  <c r="AG59" i="8"/>
  <c r="L52" i="10" s="1"/>
  <c r="K66" i="10"/>
  <c r="AG73" i="8"/>
  <c r="L66" i="10" s="1"/>
  <c r="R65" i="17"/>
  <c r="T65" i="17" s="1"/>
  <c r="AC35" i="8" s="1"/>
  <c r="V31" i="10" s="1"/>
  <c r="Q65" i="17"/>
  <c r="S65" i="17" s="1"/>
  <c r="AB35" i="8" s="1"/>
  <c r="T31" i="10" s="1"/>
  <c r="Q116" i="17"/>
  <c r="S116" i="17" s="1"/>
  <c r="R116" i="17"/>
  <c r="T116" i="17" s="1"/>
  <c r="E90" i="8"/>
  <c r="G6" i="10"/>
  <c r="G18" i="10"/>
  <c r="J19" i="8"/>
  <c r="I18" i="10" s="1"/>
  <c r="I19" i="8"/>
  <c r="H18" i="10" s="1"/>
  <c r="N26" i="11" s="1"/>
  <c r="O26" i="11" s="1"/>
  <c r="G68" i="10"/>
  <c r="J75" i="8"/>
  <c r="I68" i="10" s="1"/>
  <c r="Y68" i="10" s="1"/>
  <c r="AH68" i="10" s="1"/>
  <c r="AO68" i="10" s="1"/>
  <c r="K29" i="10"/>
  <c r="AG33" i="8"/>
  <c r="K37" i="10"/>
  <c r="AG41" i="8"/>
  <c r="K47" i="10"/>
  <c r="AG51" i="8"/>
  <c r="L47" i="10" s="1"/>
  <c r="K50" i="10"/>
  <c r="AG57" i="8"/>
  <c r="L50" i="10" s="1"/>
  <c r="AC10" i="10"/>
  <c r="J18" i="11" s="1"/>
  <c r="V11" i="8"/>
  <c r="AE10" i="10" s="1"/>
  <c r="L18" i="11" s="1"/>
  <c r="AC18" i="10"/>
  <c r="J26" i="11" s="1"/>
  <c r="V19" i="8"/>
  <c r="AE18" i="10" s="1"/>
  <c r="L26" i="11" s="1"/>
  <c r="AC24" i="10"/>
  <c r="J32" i="11" s="1"/>
  <c r="V25" i="8"/>
  <c r="AE24" i="10" s="1"/>
  <c r="L32" i="11" s="1"/>
  <c r="H25" i="8"/>
  <c r="J25" i="8" s="1"/>
  <c r="I24" i="10" s="1"/>
  <c r="N35" i="10"/>
  <c r="AH39" i="8"/>
  <c r="N37" i="17"/>
  <c r="O37" i="17" s="1"/>
  <c r="P37" i="17" s="1"/>
  <c r="N46" i="17"/>
  <c r="O46" i="17" s="1"/>
  <c r="P46" i="17" s="1"/>
  <c r="N56" i="17"/>
  <c r="O56" i="17" s="1"/>
  <c r="P56" i="17" s="1"/>
  <c r="N66" i="17"/>
  <c r="O66" i="17" s="1"/>
  <c r="P66" i="17" s="1"/>
  <c r="N75" i="17"/>
  <c r="O75" i="17" s="1"/>
  <c r="P75" i="17" s="1"/>
  <c r="N85" i="17"/>
  <c r="O85" i="17" s="1"/>
  <c r="P85" i="17" s="1"/>
  <c r="N94" i="17"/>
  <c r="O94" i="17" s="1"/>
  <c r="P94" i="17" s="1"/>
  <c r="N101" i="17"/>
  <c r="O101" i="17" s="1"/>
  <c r="P101" i="17" s="1"/>
  <c r="N111" i="17"/>
  <c r="O111" i="17" s="1"/>
  <c r="P111" i="17" s="1"/>
  <c r="AH25" i="8"/>
  <c r="AD25" i="10"/>
  <c r="K33" i="11" s="1"/>
  <c r="H26" i="8"/>
  <c r="W34" i="11"/>
  <c r="X34" i="11" s="1"/>
  <c r="Y26" i="10"/>
  <c r="AH26" i="10" s="1"/>
  <c r="AO26" i="10" s="1"/>
  <c r="V31" i="8"/>
  <c r="AE27" i="10" s="1"/>
  <c r="L35" i="11" s="1"/>
  <c r="V55" i="8"/>
  <c r="AE48" i="10" s="1"/>
  <c r="L56" i="11" s="1"/>
  <c r="AH63" i="8"/>
  <c r="AD58" i="10"/>
  <c r="K66" i="11" s="1"/>
  <c r="H65" i="8"/>
  <c r="AH67" i="8"/>
  <c r="AD62" i="10"/>
  <c r="K70" i="11" s="1"/>
  <c r="H69" i="8"/>
  <c r="AH71" i="8"/>
  <c r="K67" i="10"/>
  <c r="AG74" i="8"/>
  <c r="X59" i="18"/>
  <c r="N33" i="17"/>
  <c r="O33" i="17" s="1"/>
  <c r="P33" i="17" s="1"/>
  <c r="N34" i="17"/>
  <c r="O34" i="17" s="1"/>
  <c r="P34" i="17" s="1"/>
  <c r="N43" i="17"/>
  <c r="O43" i="17" s="1"/>
  <c r="P43" i="17" s="1"/>
  <c r="N44" i="17"/>
  <c r="O44" i="17" s="1"/>
  <c r="P44" i="17" s="1"/>
  <c r="N54" i="17"/>
  <c r="O54" i="17" s="1"/>
  <c r="P54" i="17" s="1"/>
  <c r="N64" i="17"/>
  <c r="O64" i="17" s="1"/>
  <c r="P64" i="17" s="1"/>
  <c r="N73" i="17"/>
  <c r="O73" i="17" s="1"/>
  <c r="P73" i="17" s="1"/>
  <c r="N83" i="17"/>
  <c r="O83" i="17" s="1"/>
  <c r="P83" i="17" s="1"/>
  <c r="N92" i="17"/>
  <c r="O92" i="17" s="1"/>
  <c r="P92" i="17" s="1"/>
  <c r="N100" i="17"/>
  <c r="O100" i="17" s="1"/>
  <c r="P100" i="17" s="1"/>
  <c r="N105" i="17"/>
  <c r="O105" i="17" s="1"/>
  <c r="P105" i="17" s="1"/>
  <c r="H7" i="8"/>
  <c r="J7" i="8" s="1"/>
  <c r="I6" i="10" s="1"/>
  <c r="H8" i="8"/>
  <c r="AH8" i="8"/>
  <c r="AC8" i="10"/>
  <c r="J16" i="11" s="1"/>
  <c r="V9" i="8"/>
  <c r="AE8" i="10" s="1"/>
  <c r="L16" i="11" s="1"/>
  <c r="AD9" i="10"/>
  <c r="K17" i="11" s="1"/>
  <c r="H10" i="8"/>
  <c r="H12" i="8"/>
  <c r="I12" i="8" s="1"/>
  <c r="H11" i="10" s="1"/>
  <c r="AC12" i="10"/>
  <c r="J20" i="11" s="1"/>
  <c r="V13" i="8"/>
  <c r="AE12" i="10" s="1"/>
  <c r="L20" i="11" s="1"/>
  <c r="AH13" i="8"/>
  <c r="AD13" i="10"/>
  <c r="K21" i="11" s="1"/>
  <c r="H14" i="8"/>
  <c r="H16" i="8"/>
  <c r="AH16" i="8"/>
  <c r="AC16" i="10"/>
  <c r="J24" i="11" s="1"/>
  <c r="V17" i="8"/>
  <c r="AE16" i="10" s="1"/>
  <c r="L24" i="11" s="1"/>
  <c r="AH17" i="8"/>
  <c r="AD17" i="10"/>
  <c r="K25" i="11" s="1"/>
  <c r="H18" i="8"/>
  <c r="H20" i="8"/>
  <c r="AC20" i="10"/>
  <c r="J28" i="11" s="1"/>
  <c r="V21" i="8"/>
  <c r="AE20" i="10" s="1"/>
  <c r="L28" i="11" s="1"/>
  <c r="AD21" i="10"/>
  <c r="K29" i="11" s="1"/>
  <c r="H22" i="8"/>
  <c r="J22" i="8" s="1"/>
  <c r="I21" i="10" s="1"/>
  <c r="H24" i="8"/>
  <c r="W33" i="11"/>
  <c r="X33" i="11" s="1"/>
  <c r="Z34" i="11"/>
  <c r="AA34" i="11" s="1"/>
  <c r="Z26" i="10"/>
  <c r="AI26" i="10" s="1"/>
  <c r="AQ26" i="10" s="1"/>
  <c r="AD30" i="10"/>
  <c r="K38" i="11" s="1"/>
  <c r="H34" i="8"/>
  <c r="AD34" i="10"/>
  <c r="K42" i="11" s="1"/>
  <c r="H38" i="8"/>
  <c r="J38" i="8" s="1"/>
  <c r="I34" i="10" s="1"/>
  <c r="AD38" i="10"/>
  <c r="K46" i="11" s="1"/>
  <c r="H42" i="8"/>
  <c r="AD42" i="10"/>
  <c r="K50" i="11" s="1"/>
  <c r="H46" i="8"/>
  <c r="J46" i="8" s="1"/>
  <c r="I42" i="10" s="1"/>
  <c r="AD46" i="10"/>
  <c r="K54" i="11" s="1"/>
  <c r="H50" i="8"/>
  <c r="W62" i="11"/>
  <c r="X62" i="11" s="1"/>
  <c r="Y54" i="10"/>
  <c r="AH54" i="10" s="1"/>
  <c r="AO54" i="10" s="1"/>
  <c r="AD55" i="10"/>
  <c r="K63" i="11" s="1"/>
  <c r="H62" i="8"/>
  <c r="J62" i="8" s="1"/>
  <c r="I55" i="10" s="1"/>
  <c r="V62" i="8"/>
  <c r="AE55" i="10" s="1"/>
  <c r="L63" i="11" s="1"/>
  <c r="AD59" i="10"/>
  <c r="K67" i="11" s="1"/>
  <c r="H66" i="8"/>
  <c r="J66" i="8" s="1"/>
  <c r="I59" i="10" s="1"/>
  <c r="V66" i="8"/>
  <c r="AE59" i="10" s="1"/>
  <c r="L67" i="11" s="1"/>
  <c r="AD63" i="10"/>
  <c r="K71" i="11" s="1"/>
  <c r="H70" i="8"/>
  <c r="V70" i="8"/>
  <c r="AE63" i="10" s="1"/>
  <c r="L71" i="11" s="1"/>
  <c r="Z74" i="11"/>
  <c r="AA74" i="11" s="1"/>
  <c r="Z66" i="10"/>
  <c r="AI66" i="10" s="1"/>
  <c r="AQ66" i="10" s="1"/>
  <c r="X51" i="18"/>
  <c r="X53" i="18"/>
  <c r="N113" i="17"/>
  <c r="O113" i="17" s="1"/>
  <c r="P113" i="17" s="1"/>
  <c r="N103" i="17"/>
  <c r="O103" i="17" s="1"/>
  <c r="P103" i="17" s="1"/>
  <c r="N32" i="17"/>
  <c r="O32" i="17" s="1"/>
  <c r="P32" i="17" s="1"/>
  <c r="N42" i="17"/>
  <c r="O42" i="17" s="1"/>
  <c r="P42" i="17" s="1"/>
  <c r="N51" i="17"/>
  <c r="O51" i="17" s="1"/>
  <c r="P51" i="17" s="1"/>
  <c r="N52" i="17"/>
  <c r="O52" i="17" s="1"/>
  <c r="P52" i="17" s="1"/>
  <c r="N53" i="17"/>
  <c r="O53" i="17" s="1"/>
  <c r="P53" i="17" s="1"/>
  <c r="N63" i="17"/>
  <c r="O63" i="17" s="1"/>
  <c r="P63" i="17" s="1"/>
  <c r="N72" i="17"/>
  <c r="O72" i="17" s="1"/>
  <c r="P72" i="17" s="1"/>
  <c r="N82" i="17"/>
  <c r="O82" i="17" s="1"/>
  <c r="P82" i="17" s="1"/>
  <c r="N91" i="17"/>
  <c r="O91" i="17" s="1"/>
  <c r="P91" i="17" s="1"/>
  <c r="N114" i="17"/>
  <c r="O114" i="17" s="1"/>
  <c r="P114" i="17" s="1"/>
  <c r="D26" i="10"/>
  <c r="E34" i="11" s="1"/>
  <c r="D15" i="10"/>
  <c r="E23" i="11" s="1"/>
  <c r="D7" i="10"/>
  <c r="E15" i="11" s="1"/>
  <c r="D16" i="10"/>
  <c r="E24" i="11" s="1"/>
  <c r="D8" i="10"/>
  <c r="E16" i="11" s="1"/>
  <c r="D17" i="10"/>
  <c r="E25" i="11" s="1"/>
  <c r="D9" i="10"/>
  <c r="E17" i="11" s="1"/>
  <c r="D23" i="10"/>
  <c r="E31" i="11" s="1"/>
  <c r="D18" i="10"/>
  <c r="E26" i="11" s="1"/>
  <c r="D24" i="10"/>
  <c r="E32" i="11" s="1"/>
  <c r="D19" i="10"/>
  <c r="E27" i="11" s="1"/>
  <c r="D11" i="10"/>
  <c r="E19" i="11" s="1"/>
  <c r="D20" i="10"/>
  <c r="E28" i="11" s="1"/>
  <c r="D12" i="10"/>
  <c r="E20" i="11" s="1"/>
  <c r="D21" i="10"/>
  <c r="E29" i="11" s="1"/>
  <c r="D22" i="10"/>
  <c r="E30" i="11" s="1"/>
  <c r="D13" i="10"/>
  <c r="E21" i="11" s="1"/>
  <c r="D25" i="10"/>
  <c r="E33" i="11" s="1"/>
  <c r="D6" i="10"/>
  <c r="E14" i="11" s="1"/>
  <c r="D14" i="10"/>
  <c r="E22" i="11" s="1"/>
  <c r="D10" i="10"/>
  <c r="E18" i="11" s="1"/>
  <c r="Z35" i="11"/>
  <c r="AA35" i="11" s="1"/>
  <c r="AD28" i="10"/>
  <c r="K36" i="11" s="1"/>
  <c r="H32" i="8"/>
  <c r="I32" i="8" s="1"/>
  <c r="H28" i="10" s="1"/>
  <c r="V32" i="8"/>
  <c r="AE28" i="10" s="1"/>
  <c r="L36" i="11" s="1"/>
  <c r="AD32" i="10"/>
  <c r="K40" i="11" s="1"/>
  <c r="H36" i="8"/>
  <c r="J36" i="8" s="1"/>
  <c r="I32" i="10" s="1"/>
  <c r="V36" i="8"/>
  <c r="AE32" i="10" s="1"/>
  <c r="L40" i="11" s="1"/>
  <c r="AD36" i="10"/>
  <c r="K44" i="11" s="1"/>
  <c r="H40" i="8"/>
  <c r="V40" i="8"/>
  <c r="AE36" i="10" s="1"/>
  <c r="L44" i="11" s="1"/>
  <c r="AD40" i="10"/>
  <c r="K48" i="11" s="1"/>
  <c r="H44" i="8"/>
  <c r="V44" i="8"/>
  <c r="AE40" i="10" s="1"/>
  <c r="L48" i="11" s="1"/>
  <c r="V46" i="8"/>
  <c r="AE42" i="10" s="1"/>
  <c r="L50" i="11" s="1"/>
  <c r="AD44" i="10"/>
  <c r="K52" i="11" s="1"/>
  <c r="H48" i="8"/>
  <c r="I48" i="8" s="1"/>
  <c r="H44" i="10" s="1"/>
  <c r="V48" i="8"/>
  <c r="AE44" i="10" s="1"/>
  <c r="L52" i="11" s="1"/>
  <c r="AH49" i="8"/>
  <c r="V50" i="8"/>
  <c r="AE46" i="10" s="1"/>
  <c r="L54" i="11" s="1"/>
  <c r="AD49" i="10"/>
  <c r="K57" i="11" s="1"/>
  <c r="H56" i="8"/>
  <c r="H92" i="8" s="1"/>
  <c r="J92" i="8" s="1"/>
  <c r="Z52" i="10"/>
  <c r="AI52" i="10" s="1"/>
  <c r="AQ52" i="10" s="1"/>
  <c r="AD53" i="10"/>
  <c r="K61" i="11" s="1"/>
  <c r="H60" i="8"/>
  <c r="I60" i="8" s="1"/>
  <c r="H53" i="10" s="1"/>
  <c r="W60" i="18"/>
  <c r="N31" i="17"/>
  <c r="O31" i="17" s="1"/>
  <c r="P31" i="17" s="1"/>
  <c r="N41" i="17"/>
  <c r="O41" i="17" s="1"/>
  <c r="P41" i="17" s="1"/>
  <c r="N50" i="17"/>
  <c r="O50" i="17" s="1"/>
  <c r="P50" i="17" s="1"/>
  <c r="N61" i="17"/>
  <c r="O61" i="17" s="1"/>
  <c r="P61" i="17" s="1"/>
  <c r="N62" i="17"/>
  <c r="O62" i="17" s="1"/>
  <c r="P62" i="17" s="1"/>
  <c r="N71" i="17"/>
  <c r="O71" i="17" s="1"/>
  <c r="P71" i="17" s="1"/>
  <c r="N81" i="17"/>
  <c r="O81" i="17" s="1"/>
  <c r="P81" i="17" s="1"/>
  <c r="N90" i="17"/>
  <c r="O90" i="17" s="1"/>
  <c r="P90" i="17" s="1"/>
  <c r="N99" i="17"/>
  <c r="O99" i="17" s="1"/>
  <c r="P99" i="17" s="1"/>
  <c r="N104" i="17"/>
  <c r="O104" i="17" s="1"/>
  <c r="P104" i="17" s="1"/>
  <c r="N109" i="17"/>
  <c r="O109" i="17" s="1"/>
  <c r="P109" i="17" s="1"/>
  <c r="N118" i="17"/>
  <c r="O118" i="17" s="1"/>
  <c r="P118" i="17" s="1"/>
  <c r="V7" i="8"/>
  <c r="AE6" i="10" s="1"/>
  <c r="L14" i="11" s="1"/>
  <c r="V8" i="8"/>
  <c r="AE7" i="10" s="1"/>
  <c r="L15" i="11" s="1"/>
  <c r="W18" i="11"/>
  <c r="X18" i="11" s="1"/>
  <c r="Y10" i="10"/>
  <c r="AH10" i="10" s="1"/>
  <c r="AO10" i="10" s="1"/>
  <c r="V12" i="8"/>
  <c r="AE11" i="10" s="1"/>
  <c r="L19" i="11" s="1"/>
  <c r="W22" i="11"/>
  <c r="X22" i="11" s="1"/>
  <c r="Y14" i="10"/>
  <c r="AH14" i="10" s="1"/>
  <c r="AO14" i="10" s="1"/>
  <c r="V16" i="8"/>
  <c r="AE15" i="10" s="1"/>
  <c r="L23" i="11" s="1"/>
  <c r="W26" i="11"/>
  <c r="X26" i="11" s="1"/>
  <c r="Y18" i="10"/>
  <c r="AH18" i="10" s="1"/>
  <c r="AO18" i="10" s="1"/>
  <c r="V20" i="8"/>
  <c r="AE19" i="10" s="1"/>
  <c r="L27" i="11" s="1"/>
  <c r="W30" i="11"/>
  <c r="X30" i="11" s="1"/>
  <c r="V24" i="8"/>
  <c r="AE23" i="10" s="1"/>
  <c r="L31" i="11" s="1"/>
  <c r="Z33" i="11"/>
  <c r="AA33" i="11" s="1"/>
  <c r="AD51" i="10"/>
  <c r="K59" i="11" s="1"/>
  <c r="H58" i="8"/>
  <c r="V58" i="8"/>
  <c r="AE51" i="10" s="1"/>
  <c r="L59" i="11" s="1"/>
  <c r="Z62" i="11"/>
  <c r="AA62" i="11" s="1"/>
  <c r="Z54" i="10"/>
  <c r="AI54" i="10" s="1"/>
  <c r="AQ54" i="10" s="1"/>
  <c r="AH61" i="8"/>
  <c r="AD56" i="10"/>
  <c r="K64" i="11" s="1"/>
  <c r="H63" i="8"/>
  <c r="J63" i="8" s="1"/>
  <c r="I56" i="10" s="1"/>
  <c r="AH65" i="8"/>
  <c r="AD60" i="10"/>
  <c r="K68" i="11" s="1"/>
  <c r="H67" i="8"/>
  <c r="J67" i="8" s="1"/>
  <c r="I60" i="10" s="1"/>
  <c r="AH69" i="8"/>
  <c r="AD64" i="10"/>
  <c r="K72" i="11" s="1"/>
  <c r="H71" i="8"/>
  <c r="I71" i="8" s="1"/>
  <c r="H64" i="10" s="1"/>
  <c r="N40" i="17"/>
  <c r="O40" i="17" s="1"/>
  <c r="P40" i="17" s="1"/>
  <c r="N49" i="17"/>
  <c r="O49" i="17" s="1"/>
  <c r="P49" i="17" s="1"/>
  <c r="N59" i="17"/>
  <c r="O59" i="17" s="1"/>
  <c r="P59" i="17" s="1"/>
  <c r="N60" i="17"/>
  <c r="O60" i="17" s="1"/>
  <c r="P60" i="17" s="1"/>
  <c r="N70" i="17"/>
  <c r="O70" i="17" s="1"/>
  <c r="P70" i="17" s="1"/>
  <c r="N78" i="17"/>
  <c r="O78" i="17" s="1"/>
  <c r="P78" i="17" s="1"/>
  <c r="N79" i="17"/>
  <c r="O79" i="17" s="1"/>
  <c r="P79" i="17" s="1"/>
  <c r="N80" i="17"/>
  <c r="O80" i="17" s="1"/>
  <c r="P80" i="17" s="1"/>
  <c r="N88" i="17"/>
  <c r="O88" i="17" s="1"/>
  <c r="P88" i="17" s="1"/>
  <c r="N89" i="17"/>
  <c r="O89" i="17" s="1"/>
  <c r="P89" i="17" s="1"/>
  <c r="N98" i="17"/>
  <c r="O98" i="17" s="1"/>
  <c r="P98" i="17" s="1"/>
  <c r="N108" i="17"/>
  <c r="O108" i="17" s="1"/>
  <c r="P108" i="17" s="1"/>
  <c r="W16" i="11"/>
  <c r="X16" i="11" s="1"/>
  <c r="Y8" i="10"/>
  <c r="AH8" i="10" s="1"/>
  <c r="AO8" i="10" s="1"/>
  <c r="Y12" i="10"/>
  <c r="AH12" i="10" s="1"/>
  <c r="AO12" i="10" s="1"/>
  <c r="W24" i="11"/>
  <c r="X24" i="11" s="1"/>
  <c r="Y16" i="10"/>
  <c r="AH16" i="10" s="1"/>
  <c r="AO16" i="10" s="1"/>
  <c r="W28" i="11"/>
  <c r="X28" i="11" s="1"/>
  <c r="Y20" i="10"/>
  <c r="AH20" i="10" s="1"/>
  <c r="AO20" i="10" s="1"/>
  <c r="AC26" i="10"/>
  <c r="J34" i="11" s="1"/>
  <c r="V27" i="8"/>
  <c r="AE26" i="10" s="1"/>
  <c r="L34" i="11" s="1"/>
  <c r="AH57" i="8"/>
  <c r="X50" i="18"/>
  <c r="N39" i="17"/>
  <c r="O39" i="17" s="1"/>
  <c r="P39" i="17" s="1"/>
  <c r="N48" i="17"/>
  <c r="O48" i="17" s="1"/>
  <c r="P48" i="17" s="1"/>
  <c r="N58" i="17"/>
  <c r="O58" i="17" s="1"/>
  <c r="P58" i="17" s="1"/>
  <c r="N68" i="17"/>
  <c r="O68" i="17" s="1"/>
  <c r="P68" i="17" s="1"/>
  <c r="N69" i="17"/>
  <c r="O69" i="17" s="1"/>
  <c r="P69" i="17" s="1"/>
  <c r="N77" i="17"/>
  <c r="O77" i="17" s="1"/>
  <c r="P77" i="17" s="1"/>
  <c r="N87" i="17"/>
  <c r="O87" i="17" s="1"/>
  <c r="P87" i="17" s="1"/>
  <c r="N96" i="17"/>
  <c r="O96" i="17" s="1"/>
  <c r="P96" i="17" s="1"/>
  <c r="N97" i="17"/>
  <c r="O97" i="17" s="1"/>
  <c r="P97" i="17" s="1"/>
  <c r="N112" i="17"/>
  <c r="O112" i="17" s="1"/>
  <c r="P112" i="17" s="1"/>
  <c r="N117" i="17"/>
  <c r="O117" i="17" s="1"/>
  <c r="P117" i="17" s="1"/>
  <c r="Z18" i="11"/>
  <c r="AA18" i="11" s="1"/>
  <c r="Z10" i="10"/>
  <c r="AI10" i="10" s="1"/>
  <c r="AQ10" i="10" s="1"/>
  <c r="Z22" i="11"/>
  <c r="AA22" i="11" s="1"/>
  <c r="Z14" i="10"/>
  <c r="AI14" i="10" s="1"/>
  <c r="AQ14" i="10" s="1"/>
  <c r="Z26" i="11"/>
  <c r="AA26" i="11" s="1"/>
  <c r="Z18" i="10"/>
  <c r="AI18" i="10" s="1"/>
  <c r="AQ18" i="10" s="1"/>
  <c r="Z30" i="11"/>
  <c r="AA30" i="11" s="1"/>
  <c r="AD29" i="10"/>
  <c r="K37" i="11" s="1"/>
  <c r="H33" i="8"/>
  <c r="AC31" i="10"/>
  <c r="J39" i="11" s="1"/>
  <c r="V35" i="8"/>
  <c r="AE31" i="10" s="1"/>
  <c r="L39" i="11" s="1"/>
  <c r="AD33" i="10"/>
  <c r="K41" i="11" s="1"/>
  <c r="H37" i="8"/>
  <c r="AC35" i="10"/>
  <c r="J43" i="11" s="1"/>
  <c r="V39" i="8"/>
  <c r="AE35" i="10" s="1"/>
  <c r="L43" i="11" s="1"/>
  <c r="AD37" i="10"/>
  <c r="K45" i="11" s="1"/>
  <c r="H41" i="8"/>
  <c r="AC39" i="10"/>
  <c r="J47" i="11" s="1"/>
  <c r="V43" i="8"/>
  <c r="AE39" i="10" s="1"/>
  <c r="L47" i="11" s="1"/>
  <c r="AD41" i="10"/>
  <c r="K49" i="11" s="1"/>
  <c r="H45" i="8"/>
  <c r="AC43" i="10"/>
  <c r="J51" i="11" s="1"/>
  <c r="V47" i="8"/>
  <c r="AE43" i="10" s="1"/>
  <c r="L51" i="11" s="1"/>
  <c r="AD45" i="10"/>
  <c r="K53" i="11" s="1"/>
  <c r="H49" i="8"/>
  <c r="J49" i="8" s="1"/>
  <c r="I45" i="10" s="1"/>
  <c r="AC47" i="10"/>
  <c r="J55" i="11" s="1"/>
  <c r="V51" i="8"/>
  <c r="AE47" i="10" s="1"/>
  <c r="L55" i="11" s="1"/>
  <c r="AH62" i="8"/>
  <c r="AD57" i="10"/>
  <c r="K65" i="11" s="1"/>
  <c r="V64" i="8"/>
  <c r="AE57" i="10" s="1"/>
  <c r="L65" i="11" s="1"/>
  <c r="H64" i="8"/>
  <c r="AH66" i="8"/>
  <c r="AD61" i="10"/>
  <c r="K69" i="11" s="1"/>
  <c r="V68" i="8"/>
  <c r="AE61" i="10" s="1"/>
  <c r="L69" i="11" s="1"/>
  <c r="H68" i="8"/>
  <c r="J68" i="8" s="1"/>
  <c r="I61" i="10" s="1"/>
  <c r="AH70" i="8"/>
  <c r="Y64" i="10"/>
  <c r="AH64" i="10" s="1"/>
  <c r="AO64" i="10" s="1"/>
  <c r="AD65" i="10"/>
  <c r="K73" i="11" s="1"/>
  <c r="V72" i="8"/>
  <c r="AE65" i="10" s="1"/>
  <c r="L73" i="11" s="1"/>
  <c r="H72" i="8"/>
  <c r="J72" i="8" s="1"/>
  <c r="I65" i="10" s="1"/>
  <c r="W74" i="11"/>
  <c r="X74" i="11" s="1"/>
  <c r="Y66" i="10"/>
  <c r="AH66" i="10" s="1"/>
  <c r="AO66" i="10" s="1"/>
  <c r="W35" i="11"/>
  <c r="X35" i="11" s="1"/>
  <c r="Y27" i="10"/>
  <c r="AH27" i="10" s="1"/>
  <c r="AO27" i="10" s="1"/>
  <c r="V74" i="8"/>
  <c r="AE67" i="10" s="1"/>
  <c r="L75" i="11" s="1"/>
  <c r="H75" i="8"/>
  <c r="V33" i="8"/>
  <c r="AE29" i="10" s="1"/>
  <c r="L37" i="11" s="1"/>
  <c r="V37" i="8"/>
  <c r="AE33" i="10" s="1"/>
  <c r="L41" i="11" s="1"/>
  <c r="V41" i="8"/>
  <c r="AE37" i="10" s="1"/>
  <c r="L45" i="11" s="1"/>
  <c r="V45" i="8"/>
  <c r="AE41" i="10" s="1"/>
  <c r="L49" i="11" s="1"/>
  <c r="V49" i="8"/>
  <c r="AE45" i="10" s="1"/>
  <c r="L53" i="11" s="1"/>
  <c r="D65" i="10"/>
  <c r="E73" i="11" s="1"/>
  <c r="D66" i="10"/>
  <c r="E74" i="11" s="1"/>
  <c r="D67" i="10"/>
  <c r="E75" i="11" s="1"/>
  <c r="D68" i="10"/>
  <c r="E76" i="11" s="1"/>
  <c r="D59" i="10"/>
  <c r="E67" i="11" s="1"/>
  <c r="D51" i="10"/>
  <c r="E59" i="11" s="1"/>
  <c r="D60" i="10"/>
  <c r="E68" i="11" s="1"/>
  <c r="D61" i="10"/>
  <c r="E69" i="11" s="1"/>
  <c r="D53" i="10"/>
  <c r="E61" i="11" s="1"/>
  <c r="D62" i="10"/>
  <c r="E70" i="11" s="1"/>
  <c r="D54" i="10"/>
  <c r="E62" i="11" s="1"/>
  <c r="D63" i="10"/>
  <c r="E71" i="11" s="1"/>
  <c r="D55" i="10"/>
  <c r="E63" i="11" s="1"/>
  <c r="D56" i="10"/>
  <c r="E64" i="11" s="1"/>
  <c r="D50" i="10"/>
  <c r="E58" i="11" s="1"/>
  <c r="D58" i="10"/>
  <c r="E66" i="11" s="1"/>
  <c r="D64" i="10"/>
  <c r="E72" i="11" s="1"/>
  <c r="D52" i="10"/>
  <c r="E60" i="11" s="1"/>
  <c r="D57" i="10"/>
  <c r="E65" i="11" s="1"/>
  <c r="D48" i="10"/>
  <c r="E56" i="11" s="1"/>
  <c r="D49" i="10"/>
  <c r="E57" i="11" s="1"/>
  <c r="V59" i="8"/>
  <c r="AE52" i="10" s="1"/>
  <c r="L60" i="11" s="1"/>
  <c r="V63" i="8"/>
  <c r="AE56" i="10" s="1"/>
  <c r="L64" i="11" s="1"/>
  <c r="V67" i="8"/>
  <c r="AE60" i="10" s="1"/>
  <c r="L68" i="11" s="1"/>
  <c r="V71" i="8"/>
  <c r="AE64" i="10" s="1"/>
  <c r="L72" i="11" s="1"/>
  <c r="V75" i="8"/>
  <c r="AE68" i="10" s="1"/>
  <c r="L76" i="11" s="1"/>
  <c r="AH73" i="8"/>
  <c r="D42" i="10"/>
  <c r="E50" i="11" s="1"/>
  <c r="D43" i="10"/>
  <c r="E51" i="11" s="1"/>
  <c r="D44" i="10"/>
  <c r="E52" i="11" s="1"/>
  <c r="D45" i="10"/>
  <c r="E53" i="11" s="1"/>
  <c r="D46" i="10"/>
  <c r="E54" i="11" s="1"/>
  <c r="D38" i="10"/>
  <c r="E46" i="11" s="1"/>
  <c r="D39" i="10"/>
  <c r="E47" i="11" s="1"/>
  <c r="D34" i="10"/>
  <c r="E42" i="11" s="1"/>
  <c r="D35" i="10"/>
  <c r="E43" i="11" s="1"/>
  <c r="D36" i="10"/>
  <c r="E44" i="11" s="1"/>
  <c r="D37" i="10"/>
  <c r="E45" i="11" s="1"/>
  <c r="D29" i="10"/>
  <c r="E37" i="11" s="1"/>
  <c r="D30" i="10"/>
  <c r="E38" i="11" s="1"/>
  <c r="D47" i="10"/>
  <c r="E55" i="11" s="1"/>
  <c r="D41" i="10"/>
  <c r="E49" i="11" s="1"/>
  <c r="D40" i="10"/>
  <c r="E48" i="11" s="1"/>
  <c r="D31" i="10"/>
  <c r="E39" i="11" s="1"/>
  <c r="D32" i="10"/>
  <c r="E40" i="11" s="1"/>
  <c r="D28" i="10"/>
  <c r="E36" i="11" s="1"/>
  <c r="D27" i="10"/>
  <c r="E35" i="11" s="1"/>
  <c r="Z56" i="11"/>
  <c r="AA56" i="11" s="1"/>
  <c r="Z48" i="10"/>
  <c r="AI48" i="10" s="1"/>
  <c r="AQ48" i="10" s="1"/>
  <c r="V61" i="8"/>
  <c r="AE54" i="10" s="1"/>
  <c r="L62" i="11" s="1"/>
  <c r="V65" i="8"/>
  <c r="AE58" i="10" s="1"/>
  <c r="L66" i="11" s="1"/>
  <c r="V69" i="8"/>
  <c r="AE62" i="10" s="1"/>
  <c r="L70" i="11" s="1"/>
  <c r="V73" i="8"/>
  <c r="AE66" i="10" s="1"/>
  <c r="L74" i="11" s="1"/>
  <c r="H74" i="8"/>
  <c r="I74" i="8" s="1"/>
  <c r="H67" i="10" s="1"/>
  <c r="Y61" i="10" l="1"/>
  <c r="AH61" i="10" s="1"/>
  <c r="AO61" i="10" s="1"/>
  <c r="Z61" i="10"/>
  <c r="AI61" i="10" s="1"/>
  <c r="AQ61" i="10" s="1"/>
  <c r="N61" i="11"/>
  <c r="O61" i="11" s="1"/>
  <c r="Z61" i="11"/>
  <c r="AA61" i="11" s="1"/>
  <c r="W61" i="11"/>
  <c r="X61" i="11" s="1"/>
  <c r="N52" i="11"/>
  <c r="O52" i="11" s="1"/>
  <c r="Z52" i="11"/>
  <c r="AA52" i="11" s="1"/>
  <c r="W52" i="11"/>
  <c r="X52" i="11" s="1"/>
  <c r="Z50" i="10"/>
  <c r="AI50" i="10" s="1"/>
  <c r="AQ50" i="10" s="1"/>
  <c r="Y50" i="10"/>
  <c r="AH50" i="10" s="1"/>
  <c r="AO50" i="10" s="1"/>
  <c r="Y32" i="10"/>
  <c r="AH32" i="10" s="1"/>
  <c r="AO32" i="10" s="1"/>
  <c r="Z32" i="10"/>
  <c r="AI32" i="10" s="1"/>
  <c r="AQ32" i="10" s="1"/>
  <c r="Y59" i="10"/>
  <c r="AH59" i="10" s="1"/>
  <c r="AO59" i="10" s="1"/>
  <c r="Z59" i="10"/>
  <c r="AI59" i="10" s="1"/>
  <c r="AQ59" i="10" s="1"/>
  <c r="N75" i="11"/>
  <c r="O75" i="11" s="1"/>
  <c r="W75" i="11"/>
  <c r="X75" i="11" s="1"/>
  <c r="Z75" i="11"/>
  <c r="AA75" i="11" s="1"/>
  <c r="Z45" i="10"/>
  <c r="AI45" i="10" s="1"/>
  <c r="AQ45" i="10" s="1"/>
  <c r="Y45" i="10"/>
  <c r="AH45" i="10" s="1"/>
  <c r="AO45" i="10" s="1"/>
  <c r="Y55" i="10"/>
  <c r="AH55" i="10" s="1"/>
  <c r="AO55" i="10" s="1"/>
  <c r="Z55" i="10"/>
  <c r="AI55" i="10" s="1"/>
  <c r="AQ55" i="10" s="1"/>
  <c r="Z56" i="10"/>
  <c r="AI56" i="10" s="1"/>
  <c r="AQ56" i="10" s="1"/>
  <c r="Y56" i="10"/>
  <c r="AH56" i="10" s="1"/>
  <c r="AO56" i="10" s="1"/>
  <c r="N36" i="11"/>
  <c r="O36" i="11" s="1"/>
  <c r="W36" i="11"/>
  <c r="X36" i="11" s="1"/>
  <c r="Z36" i="11"/>
  <c r="AA36" i="11" s="1"/>
  <c r="Z60" i="10"/>
  <c r="AI60" i="10" s="1"/>
  <c r="AQ60" i="10" s="1"/>
  <c r="Y60" i="10"/>
  <c r="AH60" i="10" s="1"/>
  <c r="AO60" i="10" s="1"/>
  <c r="Y34" i="10"/>
  <c r="AH34" i="10" s="1"/>
  <c r="AO34" i="10" s="1"/>
  <c r="Z34" i="10"/>
  <c r="AI34" i="10" s="1"/>
  <c r="AQ34" i="10" s="1"/>
  <c r="Y21" i="10"/>
  <c r="AH21" i="10" s="1"/>
  <c r="AO21" i="10" s="1"/>
  <c r="Z21" i="10"/>
  <c r="AI21" i="10" s="1"/>
  <c r="AQ21" i="10" s="1"/>
  <c r="Y6" i="10"/>
  <c r="AH6" i="10" s="1"/>
  <c r="AO6" i="10" s="1"/>
  <c r="Z6" i="10"/>
  <c r="AI6" i="10" s="1"/>
  <c r="AQ6" i="10" s="1"/>
  <c r="Z24" i="10"/>
  <c r="AI24" i="10" s="1"/>
  <c r="AQ24" i="10" s="1"/>
  <c r="Y24" i="10"/>
  <c r="AH24" i="10" s="1"/>
  <c r="AO24" i="10" s="1"/>
  <c r="Y42" i="10"/>
  <c r="AH42" i="10" s="1"/>
  <c r="AO42" i="10" s="1"/>
  <c r="Z42" i="10"/>
  <c r="AI42" i="10" s="1"/>
  <c r="AQ42" i="10" s="1"/>
  <c r="Z65" i="10"/>
  <c r="AI65" i="10" s="1"/>
  <c r="AQ65" i="10" s="1"/>
  <c r="Y65" i="10"/>
  <c r="AH65" i="10" s="1"/>
  <c r="AO65" i="10" s="1"/>
  <c r="N72" i="11"/>
  <c r="O72" i="11" s="1"/>
  <c r="W72" i="11"/>
  <c r="X72" i="11" s="1"/>
  <c r="Z72" i="11"/>
  <c r="AA72" i="11" s="1"/>
  <c r="N19" i="11"/>
  <c r="O19" i="11" s="1"/>
  <c r="W19" i="11"/>
  <c r="X19" i="11" s="1"/>
  <c r="Z19" i="11"/>
  <c r="AA19" i="11" s="1"/>
  <c r="AF62" i="10"/>
  <c r="M70" i="11" s="1"/>
  <c r="AF68" i="10"/>
  <c r="M76" i="11" s="1"/>
  <c r="Q117" i="17"/>
  <c r="S117" i="17" s="1"/>
  <c r="R117" i="17"/>
  <c r="T117" i="17" s="1"/>
  <c r="R58" i="17"/>
  <c r="T58" i="17" s="1"/>
  <c r="AC27" i="8" s="1"/>
  <c r="Q58" i="17"/>
  <c r="S58" i="17" s="1"/>
  <c r="AB27" i="8" s="1"/>
  <c r="T26" i="10" s="1"/>
  <c r="W20" i="11"/>
  <c r="X20" i="11" s="1"/>
  <c r="Q70" i="17"/>
  <c r="S70" i="17" s="1"/>
  <c r="AB39" i="8" s="1"/>
  <c r="T35" i="10" s="1"/>
  <c r="R70" i="17"/>
  <c r="T70" i="17" s="1"/>
  <c r="AC39" i="8" s="1"/>
  <c r="R58" i="10"/>
  <c r="AK65" i="8"/>
  <c r="Q104" i="17"/>
  <c r="S104" i="17" s="1"/>
  <c r="AB67" i="8" s="1"/>
  <c r="T60" i="10" s="1"/>
  <c r="R104" i="17"/>
  <c r="T104" i="17" s="1"/>
  <c r="AC67" i="8" s="1"/>
  <c r="R41" i="17"/>
  <c r="T41" i="17" s="1"/>
  <c r="AC15" i="8" s="1"/>
  <c r="Q41" i="17"/>
  <c r="S41" i="17" s="1"/>
  <c r="AB15" i="8" s="1"/>
  <c r="T14" i="10" s="1"/>
  <c r="Q63" i="17"/>
  <c r="S63" i="17" s="1"/>
  <c r="AB33" i="8" s="1"/>
  <c r="T29" i="10" s="1"/>
  <c r="R63" i="17"/>
  <c r="T63" i="17" s="1"/>
  <c r="AC33" i="8" s="1"/>
  <c r="AF19" i="10"/>
  <c r="M27" i="11" s="1"/>
  <c r="AF13" i="10"/>
  <c r="M21" i="11" s="1"/>
  <c r="AH9" i="8"/>
  <c r="R92" i="17"/>
  <c r="T92" i="17" s="1"/>
  <c r="AC59" i="8" s="1"/>
  <c r="Q92" i="17"/>
  <c r="S92" i="17" s="1"/>
  <c r="AB59" i="8" s="1"/>
  <c r="T52" i="10" s="1"/>
  <c r="R33" i="17"/>
  <c r="T33" i="17" s="1"/>
  <c r="Q33" i="17"/>
  <c r="S33" i="17" s="1"/>
  <c r="Z68" i="11"/>
  <c r="AA68" i="11" s="1"/>
  <c r="AF25" i="10"/>
  <c r="M33" i="11" s="1"/>
  <c r="R66" i="17"/>
  <c r="T66" i="17" s="1"/>
  <c r="AC36" i="8" s="1"/>
  <c r="Q66" i="17"/>
  <c r="S66" i="17" s="1"/>
  <c r="AB36" i="8" s="1"/>
  <c r="T32" i="10" s="1"/>
  <c r="I36" i="8"/>
  <c r="H32" i="10" s="1"/>
  <c r="L38" i="10"/>
  <c r="AH42" i="8"/>
  <c r="I49" i="8"/>
  <c r="H45" i="10" s="1"/>
  <c r="W11" i="10"/>
  <c r="I62" i="8"/>
  <c r="H55" i="10" s="1"/>
  <c r="L23" i="10"/>
  <c r="AH24" i="8"/>
  <c r="AB10" i="8"/>
  <c r="T9" i="10" s="1"/>
  <c r="U35" i="17"/>
  <c r="I25" i="8"/>
  <c r="H24" i="10" s="1"/>
  <c r="AB11" i="10"/>
  <c r="W64" i="10"/>
  <c r="W60" i="10"/>
  <c r="G47" i="10"/>
  <c r="J51" i="8"/>
  <c r="I47" i="10" s="1"/>
  <c r="Z47" i="10" s="1"/>
  <c r="AI47" i="10" s="1"/>
  <c r="AQ47" i="10" s="1"/>
  <c r="I51" i="8"/>
  <c r="H47" i="10" s="1"/>
  <c r="I63" i="8"/>
  <c r="H56" i="10" s="1"/>
  <c r="AF32" i="11"/>
  <c r="AG32" i="11" s="1"/>
  <c r="X24" i="10"/>
  <c r="AK24" i="10" s="1"/>
  <c r="AU24" i="10" s="1"/>
  <c r="AZ24" i="10" s="1"/>
  <c r="G19" i="10"/>
  <c r="J20" i="8"/>
  <c r="I19" i="10" s="1"/>
  <c r="I20" i="8"/>
  <c r="H19" i="10" s="1"/>
  <c r="X58" i="10"/>
  <c r="AK58" i="10" s="1"/>
  <c r="AU58" i="10" s="1"/>
  <c r="I66" i="8"/>
  <c r="H59" i="10" s="1"/>
  <c r="L36" i="10"/>
  <c r="AH40" i="8"/>
  <c r="L40" i="10"/>
  <c r="AH44" i="8"/>
  <c r="L61" i="10"/>
  <c r="AH68" i="8"/>
  <c r="I22" i="8"/>
  <c r="H21" i="10" s="1"/>
  <c r="Q98" i="17"/>
  <c r="S98" i="17" s="1"/>
  <c r="AB62" i="8" s="1"/>
  <c r="T55" i="10" s="1"/>
  <c r="R98" i="17"/>
  <c r="T98" i="17" s="1"/>
  <c r="AC62" i="8" s="1"/>
  <c r="AF60" i="11"/>
  <c r="AG60" i="11" s="1"/>
  <c r="X52" i="10"/>
  <c r="AK52" i="10" s="1"/>
  <c r="AU52" i="10" s="1"/>
  <c r="AZ52" i="10" s="1"/>
  <c r="Z68" i="10"/>
  <c r="AI68" i="10" s="1"/>
  <c r="AQ68" i="10" s="1"/>
  <c r="AF37" i="10"/>
  <c r="M45" i="11" s="1"/>
  <c r="I41" i="8"/>
  <c r="H37" i="10" s="1"/>
  <c r="R112" i="17"/>
  <c r="T112" i="17" s="1"/>
  <c r="AC73" i="8" s="1"/>
  <c r="Q112" i="17"/>
  <c r="S112" i="17" s="1"/>
  <c r="AB73" i="8" s="1"/>
  <c r="T66" i="10" s="1"/>
  <c r="R48" i="17"/>
  <c r="T48" i="17" s="1"/>
  <c r="AC19" i="8" s="1"/>
  <c r="Q48" i="17"/>
  <c r="S48" i="17" s="1"/>
  <c r="AB19" i="8" s="1"/>
  <c r="T18" i="10" s="1"/>
  <c r="Y28" i="10"/>
  <c r="AH28" i="10" s="1"/>
  <c r="AO28" i="10" s="1"/>
  <c r="Y11" i="10"/>
  <c r="AH11" i="10" s="1"/>
  <c r="AO11" i="10" s="1"/>
  <c r="R108" i="17"/>
  <c r="T108" i="17" s="1"/>
  <c r="AC70" i="8" s="1"/>
  <c r="Q108" i="17"/>
  <c r="S108" i="17" s="1"/>
  <c r="Q60" i="17"/>
  <c r="S60" i="17" s="1"/>
  <c r="R60" i="17"/>
  <c r="T60" i="17" s="1"/>
  <c r="R62" i="10"/>
  <c r="AK69" i="8"/>
  <c r="R99" i="17"/>
  <c r="T99" i="17" s="1"/>
  <c r="AC63" i="8" s="1"/>
  <c r="Q99" i="17"/>
  <c r="S99" i="17" s="1"/>
  <c r="AB63" i="8" s="1"/>
  <c r="T56" i="10" s="1"/>
  <c r="R31" i="17"/>
  <c r="T31" i="17" s="1"/>
  <c r="AC7" i="8" s="1"/>
  <c r="Q31" i="17"/>
  <c r="S31" i="17" s="1"/>
  <c r="AB7" i="8" s="1"/>
  <c r="T6" i="10" s="1"/>
  <c r="AF36" i="10"/>
  <c r="M44" i="11" s="1"/>
  <c r="Q53" i="17"/>
  <c r="S53" i="17" s="1"/>
  <c r="R53" i="17"/>
  <c r="T53" i="17" s="1"/>
  <c r="AF17" i="10"/>
  <c r="M25" i="11" s="1"/>
  <c r="R83" i="17"/>
  <c r="T83" i="17" s="1"/>
  <c r="Q83" i="17"/>
  <c r="S83" i="17" s="1"/>
  <c r="AF58" i="10"/>
  <c r="M66" i="11" s="1"/>
  <c r="R56" i="17"/>
  <c r="T56" i="17" s="1"/>
  <c r="AC25" i="8" s="1"/>
  <c r="Q56" i="17"/>
  <c r="S56" i="17" s="1"/>
  <c r="AB25" i="8" s="1"/>
  <c r="T24" i="10" s="1"/>
  <c r="I75" i="8"/>
  <c r="H68" i="10" s="1"/>
  <c r="W66" i="10"/>
  <c r="AF35" i="10"/>
  <c r="M43" i="11" s="1"/>
  <c r="AI16" i="8"/>
  <c r="R31" i="10"/>
  <c r="AK35" i="8"/>
  <c r="AI69" i="8"/>
  <c r="X35" i="10"/>
  <c r="AK35" i="10" s="1"/>
  <c r="AU35" i="10" s="1"/>
  <c r="AZ35" i="10" s="1"/>
  <c r="AF67" i="11"/>
  <c r="AG67" i="11" s="1"/>
  <c r="X59" i="10"/>
  <c r="AK59" i="10" s="1"/>
  <c r="AU59" i="10" s="1"/>
  <c r="AH59" i="8"/>
  <c r="AF24" i="11"/>
  <c r="AG24" i="11" s="1"/>
  <c r="X16" i="10"/>
  <c r="AK16" i="10" s="1"/>
  <c r="AU16" i="10" s="1"/>
  <c r="AZ16" i="10" s="1"/>
  <c r="AC10" i="8"/>
  <c r="L34" i="10"/>
  <c r="AH38" i="8"/>
  <c r="I92" i="8"/>
  <c r="L57" i="10"/>
  <c r="AH64" i="8"/>
  <c r="L41" i="10"/>
  <c r="AH45" i="8"/>
  <c r="W26" i="10"/>
  <c r="G43" i="10"/>
  <c r="J47" i="8"/>
  <c r="I43" i="10" s="1"/>
  <c r="Z43" i="10" s="1"/>
  <c r="AI43" i="10" s="1"/>
  <c r="AQ43" i="10" s="1"/>
  <c r="I47" i="8"/>
  <c r="H43" i="10" s="1"/>
  <c r="AB47" i="10"/>
  <c r="L53" i="10"/>
  <c r="AH60" i="8"/>
  <c r="L51" i="10"/>
  <c r="AH58" i="8"/>
  <c r="X31" i="10"/>
  <c r="AK31" i="10" s="1"/>
  <c r="AU31" i="10" s="1"/>
  <c r="AZ31" i="10" s="1"/>
  <c r="G15" i="10"/>
  <c r="J16" i="8"/>
  <c r="I15" i="10" s="1"/>
  <c r="I16" i="8"/>
  <c r="H15" i="10" s="1"/>
  <c r="W10" i="10"/>
  <c r="AI49" i="11"/>
  <c r="AJ49" i="11" s="1"/>
  <c r="J26" i="8"/>
  <c r="I25" i="10" s="1"/>
  <c r="R97" i="17"/>
  <c r="T97" i="17" s="1"/>
  <c r="Q97" i="17"/>
  <c r="S97" i="17" s="1"/>
  <c r="W47" i="10"/>
  <c r="AF16" i="11"/>
  <c r="AG16" i="11" s="1"/>
  <c r="X8" i="10"/>
  <c r="AK8" i="10" s="1"/>
  <c r="AU8" i="10" s="1"/>
  <c r="AZ8" i="10" s="1"/>
  <c r="C22" i="6"/>
  <c r="H20" i="6"/>
  <c r="W68" i="11"/>
  <c r="X68" i="11" s="1"/>
  <c r="AF41" i="10"/>
  <c r="M49" i="11" s="1"/>
  <c r="R96" i="17"/>
  <c r="T96" i="17" s="1"/>
  <c r="Q96" i="17"/>
  <c r="S96" i="17" s="1"/>
  <c r="U96" i="17" s="1"/>
  <c r="Q89" i="17"/>
  <c r="S89" i="17" s="1"/>
  <c r="R89" i="17"/>
  <c r="T89" i="17" s="1"/>
  <c r="Q49" i="17"/>
  <c r="S49" i="17" s="1"/>
  <c r="AB20" i="8" s="1"/>
  <c r="T19" i="10" s="1"/>
  <c r="R49" i="17"/>
  <c r="T49" i="17" s="1"/>
  <c r="AC20" i="8" s="1"/>
  <c r="AF56" i="10"/>
  <c r="M64" i="11" s="1"/>
  <c r="AF51" i="10"/>
  <c r="M59" i="11" s="1"/>
  <c r="R81" i="17"/>
  <c r="T81" i="17" s="1"/>
  <c r="AC48" i="8" s="1"/>
  <c r="Q81" i="17"/>
  <c r="S81" i="17" s="1"/>
  <c r="AB48" i="8" s="1"/>
  <c r="T44" i="10" s="1"/>
  <c r="AF53" i="10"/>
  <c r="M61" i="11" s="1"/>
  <c r="AF28" i="10"/>
  <c r="M36" i="11" s="1"/>
  <c r="X32" i="8"/>
  <c r="X33" i="8" s="1"/>
  <c r="X34" i="8" s="1"/>
  <c r="X35" i="8" s="1"/>
  <c r="X36" i="8" s="1"/>
  <c r="X37" i="8" s="1"/>
  <c r="X38" i="8" s="1"/>
  <c r="X39" i="8" s="1"/>
  <c r="X40" i="8" s="1"/>
  <c r="X41" i="8" s="1"/>
  <c r="X42" i="8" s="1"/>
  <c r="X43" i="8" s="1"/>
  <c r="X44" i="8" s="1"/>
  <c r="X45" i="8" s="1"/>
  <c r="X46" i="8" s="1"/>
  <c r="X47" i="8" s="1"/>
  <c r="X48" i="8" s="1"/>
  <c r="X49" i="8" s="1"/>
  <c r="X50" i="8" s="1"/>
  <c r="X51" i="8" s="1"/>
  <c r="W32" i="8"/>
  <c r="Q51" i="17"/>
  <c r="S51" i="17" s="1"/>
  <c r="R51" i="17"/>
  <c r="T51" i="17" s="1"/>
  <c r="AF46" i="10"/>
  <c r="M54" i="11" s="1"/>
  <c r="AF38" i="10"/>
  <c r="M46" i="11" s="1"/>
  <c r="AF30" i="10"/>
  <c r="M38" i="11" s="1"/>
  <c r="AF23" i="10"/>
  <c r="M31" i="11" s="1"/>
  <c r="R16" i="10"/>
  <c r="AK17" i="8"/>
  <c r="R7" i="10"/>
  <c r="AK8" i="8"/>
  <c r="R64" i="17"/>
  <c r="T64" i="17" s="1"/>
  <c r="AC34" i="8" s="1"/>
  <c r="Q64" i="17"/>
  <c r="S64" i="17" s="1"/>
  <c r="AB34" i="8" s="1"/>
  <c r="T30" i="10" s="1"/>
  <c r="L67" i="10"/>
  <c r="AH74" i="8"/>
  <c r="R111" i="17"/>
  <c r="T111" i="17" s="1"/>
  <c r="AC72" i="8" s="1"/>
  <c r="Q111" i="17"/>
  <c r="S111" i="17" s="1"/>
  <c r="AB72" i="8" s="1"/>
  <c r="T65" i="10" s="1"/>
  <c r="R37" i="17"/>
  <c r="T37" i="17" s="1"/>
  <c r="AC11" i="8" s="1"/>
  <c r="Q37" i="17"/>
  <c r="S37" i="17" s="1"/>
  <c r="AB11" i="8" s="1"/>
  <c r="T10" i="10" s="1"/>
  <c r="L37" i="10"/>
  <c r="AH41" i="8"/>
  <c r="AI25" i="11"/>
  <c r="AJ25" i="11" s="1"/>
  <c r="AG17" i="10"/>
  <c r="AL17" i="10" s="1"/>
  <c r="AW17" i="10" s="1"/>
  <c r="AF22" i="10"/>
  <c r="M30" i="11" s="1"/>
  <c r="W35" i="10"/>
  <c r="AF56" i="11"/>
  <c r="AG56" i="11" s="1"/>
  <c r="X48" i="10"/>
  <c r="AK48" i="10" s="1"/>
  <c r="AU48" i="10" s="1"/>
  <c r="AZ48" i="10" s="1"/>
  <c r="AH55" i="8"/>
  <c r="AB64" i="10"/>
  <c r="L46" i="10"/>
  <c r="AH50" i="8"/>
  <c r="L27" i="10"/>
  <c r="AH31" i="8"/>
  <c r="I34" i="8"/>
  <c r="H30" i="10" s="1"/>
  <c r="AH51" i="8"/>
  <c r="W19" i="10"/>
  <c r="G31" i="10"/>
  <c r="J35" i="8"/>
  <c r="I31" i="10" s="1"/>
  <c r="Z31" i="10" s="1"/>
  <c r="AI31" i="10" s="1"/>
  <c r="AQ31" i="10" s="1"/>
  <c r="I35" i="8"/>
  <c r="H31" i="10" s="1"/>
  <c r="R19" i="10"/>
  <c r="AK20" i="8"/>
  <c r="I50" i="8"/>
  <c r="H46" i="10" s="1"/>
  <c r="AF53" i="11"/>
  <c r="AG53" i="11" s="1"/>
  <c r="X45" i="10"/>
  <c r="AK45" i="10" s="1"/>
  <c r="AU45" i="10" s="1"/>
  <c r="AZ45" i="10" s="1"/>
  <c r="W31" i="10"/>
  <c r="J18" i="8"/>
  <c r="I17" i="10" s="1"/>
  <c r="L28" i="10"/>
  <c r="AH32" i="8"/>
  <c r="I69" i="8"/>
  <c r="H62" i="10" s="1"/>
  <c r="R66" i="10"/>
  <c r="AK73" i="8"/>
  <c r="R24" i="10"/>
  <c r="AK25" i="8"/>
  <c r="AI72" i="11"/>
  <c r="AJ72" i="11" s="1"/>
  <c r="AG64" i="10"/>
  <c r="AL64" i="10" s="1"/>
  <c r="AW64" i="10" s="1"/>
  <c r="AF67" i="10"/>
  <c r="M75" i="11" s="1"/>
  <c r="R63" i="10"/>
  <c r="AK70" i="8"/>
  <c r="R59" i="10"/>
  <c r="AK66" i="8"/>
  <c r="R55" i="10"/>
  <c r="AK62" i="8"/>
  <c r="R87" i="17"/>
  <c r="T87" i="17" s="1"/>
  <c r="AC55" i="8" s="1"/>
  <c r="Q87" i="17"/>
  <c r="S87" i="17" s="1"/>
  <c r="AB55" i="8" s="1"/>
  <c r="T48" i="10" s="1"/>
  <c r="Y53" i="10"/>
  <c r="AH53" i="10" s="1"/>
  <c r="AO53" i="10" s="1"/>
  <c r="Q88" i="17"/>
  <c r="S88" i="17" s="1"/>
  <c r="R88" i="17"/>
  <c r="T88" i="17" s="1"/>
  <c r="AC56" i="8" s="1"/>
  <c r="Q40" i="17"/>
  <c r="S40" i="17" s="1"/>
  <c r="AB14" i="8" s="1"/>
  <c r="T13" i="10" s="1"/>
  <c r="R40" i="17"/>
  <c r="T40" i="17" s="1"/>
  <c r="AC14" i="8" s="1"/>
  <c r="AF60" i="10"/>
  <c r="M68" i="11" s="1"/>
  <c r="R71" i="17"/>
  <c r="T71" i="17" s="1"/>
  <c r="AC40" i="8" s="1"/>
  <c r="Q71" i="17"/>
  <c r="S71" i="17" s="1"/>
  <c r="AB40" i="8" s="1"/>
  <c r="T36" i="10" s="1"/>
  <c r="R45" i="10"/>
  <c r="AK49" i="8"/>
  <c r="AF40" i="10"/>
  <c r="M48" i="11" s="1"/>
  <c r="R114" i="17"/>
  <c r="T114" i="17" s="1"/>
  <c r="AC75" i="8" s="1"/>
  <c r="Q114" i="17"/>
  <c r="S114" i="17" s="1"/>
  <c r="AB75" i="8" s="1"/>
  <c r="T68" i="10" s="1"/>
  <c r="Q42" i="17"/>
  <c r="S42" i="17" s="1"/>
  <c r="R42" i="17"/>
  <c r="T42" i="17" s="1"/>
  <c r="AF21" i="10"/>
  <c r="M29" i="11" s="1"/>
  <c r="AF7" i="10"/>
  <c r="M15" i="11" s="1"/>
  <c r="X8" i="8"/>
  <c r="X9" i="8" s="1"/>
  <c r="X10" i="8" s="1"/>
  <c r="X11" i="8" s="1"/>
  <c r="X12" i="8" s="1"/>
  <c r="X13" i="8" s="1"/>
  <c r="X14" i="8" s="1"/>
  <c r="X15" i="8" s="1"/>
  <c r="X16" i="8" s="1"/>
  <c r="X17" i="8" s="1"/>
  <c r="X18" i="8" s="1"/>
  <c r="X19" i="8" s="1"/>
  <c r="X20" i="8" s="1"/>
  <c r="X21" i="8" s="1"/>
  <c r="X22" i="8" s="1"/>
  <c r="X23" i="8" s="1"/>
  <c r="X24" i="8" s="1"/>
  <c r="X25" i="8" s="1"/>
  <c r="X26" i="8" s="1"/>
  <c r="X27" i="8" s="1"/>
  <c r="R54" i="17"/>
  <c r="T54" i="17" s="1"/>
  <c r="AC23" i="8" s="1"/>
  <c r="Q54" i="17"/>
  <c r="S54" i="17" s="1"/>
  <c r="AB23" i="8" s="1"/>
  <c r="T22" i="10" s="1"/>
  <c r="AI30" i="11" s="1"/>
  <c r="AJ30" i="11" s="1"/>
  <c r="W67" i="10"/>
  <c r="W37" i="11"/>
  <c r="X37" i="11" s="1"/>
  <c r="R101" i="17"/>
  <c r="T101" i="17" s="1"/>
  <c r="AC65" i="8" s="1"/>
  <c r="Q101" i="17"/>
  <c r="S101" i="17" s="1"/>
  <c r="R35" i="10"/>
  <c r="AK39" i="8"/>
  <c r="U116" i="17"/>
  <c r="AF50" i="10"/>
  <c r="M58" i="11" s="1"/>
  <c r="I57" i="8"/>
  <c r="H50" i="10" s="1"/>
  <c r="AB17" i="10"/>
  <c r="L9" i="10"/>
  <c r="AH10" i="8"/>
  <c r="L14" i="10"/>
  <c r="AH15" i="8"/>
  <c r="AF63" i="11"/>
  <c r="AG63" i="11" s="1"/>
  <c r="X55" i="10"/>
  <c r="AK55" i="10" s="1"/>
  <c r="AU55" i="10" s="1"/>
  <c r="AZ55" i="10" s="1"/>
  <c r="W56" i="11"/>
  <c r="X56" i="11" s="1"/>
  <c r="Y48" i="10"/>
  <c r="AH48" i="10" s="1"/>
  <c r="AO48" i="10" s="1"/>
  <c r="AI61" i="11"/>
  <c r="AJ61" i="11" s="1"/>
  <c r="AG53" i="10"/>
  <c r="AL53" i="10" s="1"/>
  <c r="AW53" i="10" s="1"/>
  <c r="L68" i="10"/>
  <c r="AH75" i="8"/>
  <c r="R11" i="10"/>
  <c r="AK12" i="8"/>
  <c r="W7" i="10"/>
  <c r="J34" i="8"/>
  <c r="I30" i="10" s="1"/>
  <c r="W55" i="11"/>
  <c r="X55" i="11" s="1"/>
  <c r="Y47" i="10"/>
  <c r="AH47" i="10" s="1"/>
  <c r="AO47" i="10" s="1"/>
  <c r="L33" i="10"/>
  <c r="AH37" i="8"/>
  <c r="G63" i="10"/>
  <c r="J70" i="8"/>
  <c r="I63" i="10" s="1"/>
  <c r="I70" i="8"/>
  <c r="H63" i="10" s="1"/>
  <c r="G13" i="10"/>
  <c r="J14" i="8"/>
  <c r="I13" i="10" s="1"/>
  <c r="I14" i="8"/>
  <c r="H13" i="10" s="1"/>
  <c r="AF27" i="11"/>
  <c r="AG27" i="11" s="1"/>
  <c r="X19" i="10"/>
  <c r="AK19" i="10" s="1"/>
  <c r="AU19" i="10" s="1"/>
  <c r="J50" i="8"/>
  <c r="I46" i="10" s="1"/>
  <c r="AI49" i="8"/>
  <c r="G51" i="10"/>
  <c r="J58" i="8"/>
  <c r="I51" i="10" s="1"/>
  <c r="I58" i="8"/>
  <c r="H51" i="10" s="1"/>
  <c r="L30" i="10"/>
  <c r="AH34" i="8"/>
  <c r="L44" i="10"/>
  <c r="AH48" i="8"/>
  <c r="I46" i="8"/>
  <c r="H42" i="10" s="1"/>
  <c r="AF64" i="11"/>
  <c r="AG64" i="11" s="1"/>
  <c r="X56" i="10"/>
  <c r="AK56" i="10" s="1"/>
  <c r="AU56" i="10" s="1"/>
  <c r="W28" i="10"/>
  <c r="E91" i="8"/>
  <c r="L49" i="10"/>
  <c r="AH56" i="8"/>
  <c r="Q59" i="17"/>
  <c r="S59" i="17" s="1"/>
  <c r="R59" i="17"/>
  <c r="T59" i="17" s="1"/>
  <c r="AC31" i="8" s="1"/>
  <c r="R73" i="17"/>
  <c r="T73" i="17" s="1"/>
  <c r="AC42" i="8" s="1"/>
  <c r="Q73" i="17"/>
  <c r="S73" i="17" s="1"/>
  <c r="AB42" i="8" s="1"/>
  <c r="T38" i="10" s="1"/>
  <c r="W15" i="10"/>
  <c r="W60" i="11"/>
  <c r="X60" i="11" s="1"/>
  <c r="Y52" i="10"/>
  <c r="AH52" i="10" s="1"/>
  <c r="AO52" i="10" s="1"/>
  <c r="W34" i="10"/>
  <c r="W23" i="10"/>
  <c r="G39" i="10"/>
  <c r="J43" i="8"/>
  <c r="I39" i="10" s="1"/>
  <c r="Z39" i="10" s="1"/>
  <c r="AI39" i="10" s="1"/>
  <c r="AQ39" i="10" s="1"/>
  <c r="I43" i="8"/>
  <c r="H39" i="10" s="1"/>
  <c r="W61" i="10"/>
  <c r="AF45" i="10"/>
  <c r="M53" i="11" s="1"/>
  <c r="AF29" i="10"/>
  <c r="M37" i="11" s="1"/>
  <c r="W33" i="8"/>
  <c r="W34" i="8" s="1"/>
  <c r="W35" i="8" s="1"/>
  <c r="W36" i="8" s="1"/>
  <c r="W37" i="8" s="1"/>
  <c r="W38" i="8" s="1"/>
  <c r="W39" i="8" s="1"/>
  <c r="W40" i="8" s="1"/>
  <c r="W41" i="8" s="1"/>
  <c r="W42" i="8" s="1"/>
  <c r="W43" i="8" s="1"/>
  <c r="W44" i="8" s="1"/>
  <c r="W45" i="8" s="1"/>
  <c r="W46" i="8" s="1"/>
  <c r="W47" i="8" s="1"/>
  <c r="W48" i="8" s="1"/>
  <c r="W49" i="8" s="1"/>
  <c r="W50" i="8" s="1"/>
  <c r="W51" i="8" s="1"/>
  <c r="R77" i="17"/>
  <c r="T77" i="17" s="1"/>
  <c r="AC46" i="8" s="1"/>
  <c r="Q77" i="17"/>
  <c r="S77" i="17" s="1"/>
  <c r="AB46" i="8" s="1"/>
  <c r="T42" i="10" s="1"/>
  <c r="Q80" i="17"/>
  <c r="S80" i="17" s="1"/>
  <c r="R80" i="17"/>
  <c r="T80" i="17" s="1"/>
  <c r="AF64" i="10"/>
  <c r="M72" i="11" s="1"/>
  <c r="R62" i="17"/>
  <c r="T62" i="17" s="1"/>
  <c r="AC32" i="8" s="1"/>
  <c r="Q62" i="17"/>
  <c r="S62" i="17" s="1"/>
  <c r="AB32" i="8" s="1"/>
  <c r="T28" i="10" s="1"/>
  <c r="Q91" i="17"/>
  <c r="S91" i="17" s="1"/>
  <c r="AB58" i="8" s="1"/>
  <c r="T51" i="10" s="1"/>
  <c r="R91" i="17"/>
  <c r="T91" i="17" s="1"/>
  <c r="AC58" i="8" s="1"/>
  <c r="Q32" i="17"/>
  <c r="S32" i="17" s="1"/>
  <c r="AB8" i="8" s="1"/>
  <c r="T7" i="10" s="1"/>
  <c r="R32" i="17"/>
  <c r="T32" i="17" s="1"/>
  <c r="AC8" i="8" s="1"/>
  <c r="AF55" i="10"/>
  <c r="M63" i="11" s="1"/>
  <c r="AF11" i="10"/>
  <c r="M19" i="11" s="1"/>
  <c r="H90" i="8"/>
  <c r="J90" i="8" s="1"/>
  <c r="AF6" i="10"/>
  <c r="M14" i="11" s="1"/>
  <c r="W7" i="8"/>
  <c r="W8" i="8" s="1"/>
  <c r="W9" i="8" s="1"/>
  <c r="W10" i="8" s="1"/>
  <c r="W11" i="8" s="1"/>
  <c r="W12" i="8" s="1"/>
  <c r="W13" i="8" s="1"/>
  <c r="W14" i="8" s="1"/>
  <c r="W15" i="8" s="1"/>
  <c r="W16" i="8" s="1"/>
  <c r="W17" i="8" s="1"/>
  <c r="W18" i="8" s="1"/>
  <c r="W19" i="8" s="1"/>
  <c r="W20" i="8" s="1"/>
  <c r="W21" i="8" s="1"/>
  <c r="W22" i="8" s="1"/>
  <c r="W23" i="8" s="1"/>
  <c r="W24" i="8" s="1"/>
  <c r="W25" i="8" s="1"/>
  <c r="W26" i="8" s="1"/>
  <c r="W27" i="8" s="1"/>
  <c r="R44" i="17"/>
  <c r="T44" i="17" s="1"/>
  <c r="Q44" i="17"/>
  <c r="S44" i="17" s="1"/>
  <c r="Z67" i="10"/>
  <c r="AI67" i="10" s="1"/>
  <c r="AQ67" i="10" s="1"/>
  <c r="R56" i="10"/>
  <c r="AK63" i="8"/>
  <c r="R94" i="17"/>
  <c r="T94" i="17" s="1"/>
  <c r="AC61" i="8" s="1"/>
  <c r="Q94" i="17"/>
  <c r="S94" i="17" s="1"/>
  <c r="AB61" i="8" s="1"/>
  <c r="T54" i="10" s="1"/>
  <c r="Y35" i="10"/>
  <c r="AH35" i="10" s="1"/>
  <c r="AO35" i="10" s="1"/>
  <c r="AF58" i="11"/>
  <c r="AG58" i="11" s="1"/>
  <c r="X50" i="10"/>
  <c r="AK50" i="10" s="1"/>
  <c r="AU50" i="10" s="1"/>
  <c r="AZ50" i="10" s="1"/>
  <c r="AI39" i="11"/>
  <c r="AJ39" i="11" s="1"/>
  <c r="AG31" i="10"/>
  <c r="AL31" i="10" s="1"/>
  <c r="AW31" i="10" s="1"/>
  <c r="L25" i="10"/>
  <c r="AH26" i="8"/>
  <c r="AI23" i="11"/>
  <c r="AJ23" i="11" s="1"/>
  <c r="AG15" i="10"/>
  <c r="AL15" i="10" s="1"/>
  <c r="AW15" i="10" s="1"/>
  <c r="Y162" i="16"/>
  <c r="AA161" i="16"/>
  <c r="I44" i="8"/>
  <c r="H40" i="10" s="1"/>
  <c r="R20" i="10"/>
  <c r="AK21" i="8"/>
  <c r="I72" i="8"/>
  <c r="H65" i="10" s="1"/>
  <c r="W55" i="10"/>
  <c r="L21" i="10"/>
  <c r="AH22" i="8"/>
  <c r="J41" i="8"/>
  <c r="I37" i="10" s="1"/>
  <c r="V53" i="10"/>
  <c r="AB53" i="10" s="1"/>
  <c r="AI60" i="8"/>
  <c r="W27" i="10"/>
  <c r="I38" i="8"/>
  <c r="H34" i="10" s="1"/>
  <c r="AI47" i="11"/>
  <c r="AJ47" i="11" s="1"/>
  <c r="AG39" i="10"/>
  <c r="AL39" i="10" s="1"/>
  <c r="AW39" i="10" s="1"/>
  <c r="AF19" i="11"/>
  <c r="AG19" i="11" s="1"/>
  <c r="X11" i="10"/>
  <c r="AK11" i="10" s="1"/>
  <c r="AU11" i="10" s="1"/>
  <c r="AZ11" i="10" s="1"/>
  <c r="J69" i="8"/>
  <c r="I62" i="10" s="1"/>
  <c r="AB62" i="10" s="1"/>
  <c r="AF52" i="10"/>
  <c r="M60" i="11" s="1"/>
  <c r="I40" i="8"/>
  <c r="H36" i="10" s="1"/>
  <c r="AF20" i="11"/>
  <c r="AG20" i="11" s="1"/>
  <c r="X12" i="10"/>
  <c r="AK12" i="10" s="1"/>
  <c r="AU12" i="10" s="1"/>
  <c r="AZ12" i="10" s="1"/>
  <c r="AF43" i="10"/>
  <c r="M51" i="11" s="1"/>
  <c r="L65" i="10"/>
  <c r="AH72" i="8"/>
  <c r="W45" i="10"/>
  <c r="W24" i="10"/>
  <c r="G41" i="10"/>
  <c r="J45" i="8"/>
  <c r="I41" i="10" s="1"/>
  <c r="AG41" i="10" s="1"/>
  <c r="AL41" i="10" s="1"/>
  <c r="AW41" i="10" s="1"/>
  <c r="I45" i="8"/>
  <c r="H41" i="10" s="1"/>
  <c r="W30" i="10"/>
  <c r="W44" i="10"/>
  <c r="G18" i="6"/>
  <c r="B20" i="6"/>
  <c r="L6" i="10"/>
  <c r="AH7" i="8"/>
  <c r="I65" i="8"/>
  <c r="H58" i="10" s="1"/>
  <c r="L18" i="10"/>
  <c r="AH19" i="8"/>
  <c r="Q52" i="17"/>
  <c r="S52" i="17" s="1"/>
  <c r="U52" i="17" s="1"/>
  <c r="R52" i="17"/>
  <c r="T52" i="17" s="1"/>
  <c r="R12" i="10"/>
  <c r="AK13" i="8"/>
  <c r="R46" i="17"/>
  <c r="T46" i="17" s="1"/>
  <c r="AC17" i="8" s="1"/>
  <c r="Q46" i="17"/>
  <c r="S46" i="17" s="1"/>
  <c r="AB17" i="8" s="1"/>
  <c r="T16" i="10" s="1"/>
  <c r="W59" i="10"/>
  <c r="AB41" i="10"/>
  <c r="R69" i="17"/>
  <c r="T69" i="17" s="1"/>
  <c r="Q69" i="17"/>
  <c r="S69" i="17" s="1"/>
  <c r="R50" i="10"/>
  <c r="AK57" i="8"/>
  <c r="Q79" i="17"/>
  <c r="S79" i="17" s="1"/>
  <c r="U79" i="17" s="1"/>
  <c r="R79" i="17"/>
  <c r="T79" i="17" s="1"/>
  <c r="W25" i="11"/>
  <c r="X25" i="11" s="1"/>
  <c r="R118" i="17"/>
  <c r="T118" i="17" s="1"/>
  <c r="Q118" i="17"/>
  <c r="S118" i="17" s="1"/>
  <c r="R61" i="17"/>
  <c r="T61" i="17" s="1"/>
  <c r="Q61" i="17"/>
  <c r="S61" i="17" s="1"/>
  <c r="Z60" i="11"/>
  <c r="AA60" i="11" s="1"/>
  <c r="AF44" i="10"/>
  <c r="M52" i="11" s="1"/>
  <c r="AF32" i="10"/>
  <c r="M40" i="11" s="1"/>
  <c r="Q82" i="17"/>
  <c r="S82" i="17" s="1"/>
  <c r="R82" i="17"/>
  <c r="T82" i="17" s="1"/>
  <c r="Q103" i="17"/>
  <c r="S103" i="17" s="1"/>
  <c r="AB66" i="8" s="1"/>
  <c r="T59" i="10" s="1"/>
  <c r="R103" i="17"/>
  <c r="T103" i="17" s="1"/>
  <c r="AC66" i="8" s="1"/>
  <c r="AF59" i="10"/>
  <c r="M67" i="11" s="1"/>
  <c r="Z37" i="11"/>
  <c r="AA37" i="11" s="1"/>
  <c r="R15" i="10"/>
  <c r="AK16" i="8"/>
  <c r="AF9" i="10"/>
  <c r="M17" i="11" s="1"/>
  <c r="R105" i="17"/>
  <c r="T105" i="17" s="1"/>
  <c r="AC68" i="8" s="1"/>
  <c r="Q105" i="17"/>
  <c r="S105" i="17" s="1"/>
  <c r="R43" i="17"/>
  <c r="T43" i="17" s="1"/>
  <c r="Q43" i="17"/>
  <c r="S43" i="17" s="1"/>
  <c r="U43" i="17" s="1"/>
  <c r="R60" i="10"/>
  <c r="AK67" i="8"/>
  <c r="R85" i="17"/>
  <c r="T85" i="17" s="1"/>
  <c r="AC50" i="8" s="1"/>
  <c r="Q85" i="17"/>
  <c r="S85" i="17" s="1"/>
  <c r="AB50" i="8" s="1"/>
  <c r="T46" i="10" s="1"/>
  <c r="AF24" i="10"/>
  <c r="M32" i="11" s="1"/>
  <c r="L29" i="10"/>
  <c r="AH33" i="8"/>
  <c r="AB31" i="10"/>
  <c r="W25" i="10"/>
  <c r="J48" i="8"/>
  <c r="I44" i="10" s="1"/>
  <c r="AB15" i="10"/>
  <c r="J44" i="8"/>
  <c r="I40" i="10" s="1"/>
  <c r="W40" i="10" s="1"/>
  <c r="AF28" i="11"/>
  <c r="AG28" i="11" s="1"/>
  <c r="X20" i="10"/>
  <c r="AK20" i="10" s="1"/>
  <c r="AU20" i="10" s="1"/>
  <c r="AZ20" i="10" s="1"/>
  <c r="W14" i="10"/>
  <c r="AF51" i="11"/>
  <c r="AG51" i="11" s="1"/>
  <c r="W21" i="10"/>
  <c r="J65" i="8"/>
  <c r="I58" i="10" s="1"/>
  <c r="AI53" i="11"/>
  <c r="AJ53" i="11" s="1"/>
  <c r="AG45" i="10"/>
  <c r="AL45" i="10" s="1"/>
  <c r="AW45" i="10" s="1"/>
  <c r="W68" i="10"/>
  <c r="L42" i="10"/>
  <c r="AH46" i="8"/>
  <c r="AB39" i="10"/>
  <c r="AF72" i="11"/>
  <c r="AG72" i="11" s="1"/>
  <c r="X64" i="10"/>
  <c r="AK64" i="10" s="1"/>
  <c r="AU64" i="10" s="1"/>
  <c r="AZ64" i="10" s="1"/>
  <c r="AF68" i="11"/>
  <c r="AG68" i="11" s="1"/>
  <c r="X60" i="10"/>
  <c r="AK60" i="10" s="1"/>
  <c r="AU60" i="10" s="1"/>
  <c r="AZ60" i="10" s="1"/>
  <c r="G57" i="10"/>
  <c r="J64" i="8"/>
  <c r="I57" i="10" s="1"/>
  <c r="I64" i="8"/>
  <c r="H57" i="10" s="1"/>
  <c r="J40" i="8"/>
  <c r="I36" i="10" s="1"/>
  <c r="W36" i="10" s="1"/>
  <c r="I42" i="8"/>
  <c r="H38" i="10" s="1"/>
  <c r="R39" i="10"/>
  <c r="AK43" i="8"/>
  <c r="AF47" i="11"/>
  <c r="AG47" i="11" s="1"/>
  <c r="X39" i="10"/>
  <c r="AK39" i="10" s="1"/>
  <c r="AU39" i="10" s="1"/>
  <c r="AZ39" i="10" s="1"/>
  <c r="G33" i="10"/>
  <c r="J37" i="8"/>
  <c r="I33" i="10" s="1"/>
  <c r="AG33" i="10" s="1"/>
  <c r="AL33" i="10" s="1"/>
  <c r="AW33" i="10" s="1"/>
  <c r="I37" i="8"/>
  <c r="H33" i="10" s="1"/>
  <c r="L22" i="10"/>
  <c r="AF30" i="11" s="1"/>
  <c r="AG30" i="11" s="1"/>
  <c r="AH23" i="8"/>
  <c r="W56" i="10"/>
  <c r="I10" i="8"/>
  <c r="H9" i="10" s="1"/>
  <c r="AA14" i="16"/>
  <c r="AA5" i="16"/>
  <c r="AA6" i="16" s="1"/>
  <c r="Z5" i="16"/>
  <c r="Y15" i="16"/>
  <c r="AI33" i="11"/>
  <c r="AJ33" i="11" s="1"/>
  <c r="AG25" i="10"/>
  <c r="AL25" i="10" s="1"/>
  <c r="AW25" i="10" s="1"/>
  <c r="L32" i="10"/>
  <c r="AH36" i="8"/>
  <c r="R39" i="17"/>
  <c r="T39" i="17" s="1"/>
  <c r="AC13" i="8" s="1"/>
  <c r="Q39" i="17"/>
  <c r="S39" i="17" s="1"/>
  <c r="AB13" i="8" s="1"/>
  <c r="T12" i="10" s="1"/>
  <c r="R90" i="17"/>
  <c r="T90" i="17" s="1"/>
  <c r="AC57" i="8" s="1"/>
  <c r="Q90" i="17"/>
  <c r="S90" i="17" s="1"/>
  <c r="AB57" i="8" s="1"/>
  <c r="T50" i="10" s="1"/>
  <c r="I90" i="8"/>
  <c r="W39" i="11"/>
  <c r="X39" i="11" s="1"/>
  <c r="Y31" i="10"/>
  <c r="AH31" i="10" s="1"/>
  <c r="AO31" i="10" s="1"/>
  <c r="AI31" i="11"/>
  <c r="AJ31" i="11" s="1"/>
  <c r="AG23" i="10"/>
  <c r="AL23" i="10" s="1"/>
  <c r="AW23" i="10" s="1"/>
  <c r="G7" i="10"/>
  <c r="J8" i="8"/>
  <c r="I7" i="10" s="1"/>
  <c r="X7" i="10" s="1"/>
  <c r="AK7" i="10" s="1"/>
  <c r="AU7" i="10" s="1"/>
  <c r="I8" i="8"/>
  <c r="H7" i="10" s="1"/>
  <c r="AF15" i="11" s="1"/>
  <c r="AG15" i="11" s="1"/>
  <c r="AF65" i="10"/>
  <c r="M73" i="11" s="1"/>
  <c r="AF61" i="10"/>
  <c r="M69" i="11" s="1"/>
  <c r="I68" i="8"/>
  <c r="H61" i="10" s="1"/>
  <c r="AF57" i="10"/>
  <c r="M65" i="11" s="1"/>
  <c r="AF33" i="10"/>
  <c r="M41" i="11" s="1"/>
  <c r="Z25" i="11"/>
  <c r="AA25" i="11" s="1"/>
  <c r="R68" i="17"/>
  <c r="T68" i="17" s="1"/>
  <c r="Q68" i="17"/>
  <c r="S68" i="17" s="1"/>
  <c r="Q78" i="17"/>
  <c r="S78" i="17" s="1"/>
  <c r="R78" i="17"/>
  <c r="T78" i="17" s="1"/>
  <c r="AC47" i="8" s="1"/>
  <c r="R54" i="10"/>
  <c r="AK61" i="8"/>
  <c r="R109" i="17"/>
  <c r="T109" i="17" s="1"/>
  <c r="Q109" i="17"/>
  <c r="S109" i="17" s="1"/>
  <c r="R50" i="17"/>
  <c r="T50" i="17" s="1"/>
  <c r="AC21" i="8" s="1"/>
  <c r="Q50" i="17"/>
  <c r="S50" i="17" s="1"/>
  <c r="AB21" i="8" s="1"/>
  <c r="T20" i="10" s="1"/>
  <c r="AF49" i="10"/>
  <c r="M57" i="11" s="1"/>
  <c r="X56" i="8"/>
  <c r="X57" i="8" s="1"/>
  <c r="X58" i="8" s="1"/>
  <c r="X59" i="8" s="1"/>
  <c r="X60" i="8" s="1"/>
  <c r="X61" i="8" s="1"/>
  <c r="X62" i="8" s="1"/>
  <c r="X63" i="8" s="1"/>
  <c r="X64" i="8" s="1"/>
  <c r="X65" i="8" s="1"/>
  <c r="X66" i="8" s="1"/>
  <c r="X67" i="8" s="1"/>
  <c r="X68" i="8" s="1"/>
  <c r="X69" i="8" s="1"/>
  <c r="X70" i="8" s="1"/>
  <c r="X71" i="8" s="1"/>
  <c r="X72" i="8" s="1"/>
  <c r="X73" i="8" s="1"/>
  <c r="X74" i="8" s="1"/>
  <c r="X75" i="8" s="1"/>
  <c r="W56" i="8"/>
  <c r="W57" i="8" s="1"/>
  <c r="W58" i="8" s="1"/>
  <c r="W59" i="8" s="1"/>
  <c r="W60" i="8" s="1"/>
  <c r="W61" i="8" s="1"/>
  <c r="W62" i="8" s="1"/>
  <c r="W63" i="8" s="1"/>
  <c r="W64" i="8" s="1"/>
  <c r="W65" i="8" s="1"/>
  <c r="W66" i="8" s="1"/>
  <c r="W67" i="8" s="1"/>
  <c r="W68" i="8" s="1"/>
  <c r="W69" i="8" s="1"/>
  <c r="W70" i="8" s="1"/>
  <c r="W71" i="8" s="1"/>
  <c r="W72" i="8" s="1"/>
  <c r="W73" i="8" s="1"/>
  <c r="W74" i="8" s="1"/>
  <c r="W75" i="8" s="1"/>
  <c r="Q72" i="17"/>
  <c r="S72" i="17" s="1"/>
  <c r="AB41" i="8" s="1"/>
  <c r="T37" i="10" s="1"/>
  <c r="R72" i="17"/>
  <c r="T72" i="17" s="1"/>
  <c r="AC41" i="8" s="1"/>
  <c r="R113" i="17"/>
  <c r="T113" i="17" s="1"/>
  <c r="AC74" i="8" s="1"/>
  <c r="Q113" i="17"/>
  <c r="S113" i="17" s="1"/>
  <c r="AB74" i="8" s="1"/>
  <c r="T67" i="10" s="1"/>
  <c r="AF63" i="10"/>
  <c r="M71" i="11" s="1"/>
  <c r="AF42" i="10"/>
  <c r="M50" i="11" s="1"/>
  <c r="AF34" i="10"/>
  <c r="M42" i="11" s="1"/>
  <c r="AF15" i="10"/>
  <c r="M23" i="11" s="1"/>
  <c r="R100" i="17"/>
  <c r="T100" i="17" s="1"/>
  <c r="AC64" i="8" s="1"/>
  <c r="Q100" i="17"/>
  <c r="S100" i="17" s="1"/>
  <c r="AB64" i="8" s="1"/>
  <c r="T57" i="10" s="1"/>
  <c r="R34" i="17"/>
  <c r="T34" i="17" s="1"/>
  <c r="Q34" i="17"/>
  <c r="S34" i="17" s="1"/>
  <c r="R64" i="10"/>
  <c r="AK71" i="8"/>
  <c r="R75" i="17"/>
  <c r="T75" i="17" s="1"/>
  <c r="AC44" i="8" s="1"/>
  <c r="Q75" i="17"/>
  <c r="S75" i="17" s="1"/>
  <c r="AB44" i="8" s="1"/>
  <c r="T40" i="10" s="1"/>
  <c r="W50" i="10"/>
  <c r="I7" i="8"/>
  <c r="H6" i="10" s="1"/>
  <c r="AF74" i="11"/>
  <c r="AG74" i="11" s="1"/>
  <c r="X66" i="10"/>
  <c r="AK66" i="10" s="1"/>
  <c r="AU66" i="10" s="1"/>
  <c r="AZ66" i="10" s="1"/>
  <c r="X63" i="10"/>
  <c r="AK63" i="10" s="1"/>
  <c r="AU63" i="10" s="1"/>
  <c r="AF14" i="10"/>
  <c r="M22" i="11" s="1"/>
  <c r="J33" i="8"/>
  <c r="I29" i="10" s="1"/>
  <c r="L13" i="10"/>
  <c r="AH14" i="8"/>
  <c r="AF31" i="10"/>
  <c r="M39" i="11" s="1"/>
  <c r="AB45" i="10"/>
  <c r="AF62" i="11"/>
  <c r="AG62" i="11" s="1"/>
  <c r="X54" i="10"/>
  <c r="AK54" i="10" s="1"/>
  <c r="AU54" i="10" s="1"/>
  <c r="AZ54" i="10" s="1"/>
  <c r="W42" i="10"/>
  <c r="H91" i="8"/>
  <c r="J91" i="8" s="1"/>
  <c r="AI19" i="11"/>
  <c r="AJ19" i="11" s="1"/>
  <c r="AG11" i="10"/>
  <c r="AL11" i="10" s="1"/>
  <c r="AW11" i="10" s="1"/>
  <c r="AI71" i="8"/>
  <c r="L26" i="10"/>
  <c r="AH27" i="8"/>
  <c r="G49" i="10"/>
  <c r="J56" i="8"/>
  <c r="I49" i="10" s="1"/>
  <c r="I56" i="8"/>
  <c r="H49" i="10" s="1"/>
  <c r="AH47" i="8"/>
  <c r="J42" i="8"/>
  <c r="I38" i="10" s="1"/>
  <c r="W47" i="11"/>
  <c r="X47" i="11" s="1"/>
  <c r="Y39" i="10"/>
  <c r="AH39" i="10" s="1"/>
  <c r="AO39" i="10" s="1"/>
  <c r="W65" i="10"/>
  <c r="AI43" i="8"/>
  <c r="L17" i="10"/>
  <c r="AH18" i="8"/>
  <c r="G23" i="10"/>
  <c r="J24" i="8"/>
  <c r="I23" i="10" s="1"/>
  <c r="AB23" i="10" s="1"/>
  <c r="I24" i="8"/>
  <c r="H23" i="10" s="1"/>
  <c r="I39" i="8"/>
  <c r="H35" i="10" s="1"/>
  <c r="AF43" i="11" s="1"/>
  <c r="AG43" i="11" s="1"/>
  <c r="W6" i="10"/>
  <c r="L10" i="10"/>
  <c r="AH11" i="8"/>
  <c r="J10" i="8"/>
  <c r="I9" i="10" s="1"/>
  <c r="W9" i="10" s="1"/>
  <c r="AB25" i="10"/>
  <c r="W18" i="10"/>
  <c r="W32" i="10"/>
  <c r="Y49" i="10" l="1"/>
  <c r="AH49" i="10" s="1"/>
  <c r="AO49" i="10" s="1"/>
  <c r="Z49" i="10"/>
  <c r="AI49" i="10" s="1"/>
  <c r="AQ49" i="10" s="1"/>
  <c r="N69" i="11"/>
  <c r="O69" i="11" s="1"/>
  <c r="W69" i="11"/>
  <c r="X69" i="11" s="1"/>
  <c r="Z69" i="11"/>
  <c r="AA69" i="11" s="1"/>
  <c r="R29" i="10"/>
  <c r="AK33" i="8"/>
  <c r="AF26" i="11"/>
  <c r="AG26" i="11" s="1"/>
  <c r="X18" i="10"/>
  <c r="AK18" i="10" s="1"/>
  <c r="AU18" i="10" s="1"/>
  <c r="AZ18" i="10" s="1"/>
  <c r="AC64" i="11"/>
  <c r="AD64" i="11" s="1"/>
  <c r="AA56" i="10"/>
  <c r="AJ56" i="10" s="1"/>
  <c r="AS56" i="10" s="1"/>
  <c r="AY56" i="10" s="1"/>
  <c r="V49" i="10"/>
  <c r="AB49" i="10" s="1"/>
  <c r="AI56" i="8"/>
  <c r="V63" i="10"/>
  <c r="AB63" i="10" s="1"/>
  <c r="AI70" i="8"/>
  <c r="R43" i="10"/>
  <c r="AK47" i="8"/>
  <c r="V43" i="10"/>
  <c r="AB43" i="10" s="1"/>
  <c r="AI47" i="8"/>
  <c r="AI20" i="11"/>
  <c r="AJ20" i="11" s="1"/>
  <c r="AG12" i="10"/>
  <c r="AL12" i="10" s="1"/>
  <c r="AW12" i="10" s="1"/>
  <c r="N65" i="11"/>
  <c r="O65" i="11" s="1"/>
  <c r="W65" i="11"/>
  <c r="X65" i="11" s="1"/>
  <c r="Z65" i="11"/>
  <c r="AA65" i="11" s="1"/>
  <c r="X43" i="10"/>
  <c r="AK43" i="10" s="1"/>
  <c r="AU43" i="10" s="1"/>
  <c r="AZ43" i="10" s="1"/>
  <c r="R65" i="10"/>
  <c r="AK72" i="8"/>
  <c r="AC28" i="11"/>
  <c r="AD28" i="11" s="1"/>
  <c r="AA20" i="10"/>
  <c r="AJ20" i="10" s="1"/>
  <c r="AS20" i="10" s="1"/>
  <c r="AY20" i="10" s="1"/>
  <c r="V54" i="10"/>
  <c r="AB54" i="10" s="1"/>
  <c r="AI61" i="8"/>
  <c r="AG51" i="10"/>
  <c r="AL51" i="10" s="1"/>
  <c r="AW51" i="10" s="1"/>
  <c r="AI59" i="11"/>
  <c r="AJ59" i="11" s="1"/>
  <c r="V42" i="10"/>
  <c r="AB42" i="10" s="1"/>
  <c r="AI46" i="8"/>
  <c r="V38" i="10"/>
  <c r="AB38" i="10" s="1"/>
  <c r="AI42" i="8"/>
  <c r="N59" i="11"/>
  <c r="O59" i="11" s="1"/>
  <c r="Z59" i="11"/>
  <c r="AA59" i="11" s="1"/>
  <c r="W59" i="11"/>
  <c r="X59" i="11" s="1"/>
  <c r="Z13" i="10"/>
  <c r="AI13" i="10" s="1"/>
  <c r="AQ13" i="10" s="1"/>
  <c r="Y13" i="10"/>
  <c r="AH13" i="10" s="1"/>
  <c r="AO13" i="10" s="1"/>
  <c r="R9" i="10"/>
  <c r="AK10" i="8"/>
  <c r="AC43" i="11"/>
  <c r="AD43" i="11" s="1"/>
  <c r="AA35" i="10"/>
  <c r="AJ35" i="10" s="1"/>
  <c r="AS35" i="10" s="1"/>
  <c r="AY35" i="10" s="1"/>
  <c r="V13" i="10"/>
  <c r="AB13" i="10" s="1"/>
  <c r="AI14" i="8"/>
  <c r="AC63" i="11"/>
  <c r="AD63" i="11" s="1"/>
  <c r="AA55" i="10"/>
  <c r="AJ55" i="10" s="1"/>
  <c r="AS55" i="10" s="1"/>
  <c r="AY55" i="10" s="1"/>
  <c r="N70" i="11"/>
  <c r="O70" i="11" s="1"/>
  <c r="Z70" i="11"/>
  <c r="AA70" i="11" s="1"/>
  <c r="W70" i="11"/>
  <c r="X70" i="11" s="1"/>
  <c r="R47" i="10"/>
  <c r="AK51" i="8"/>
  <c r="AI51" i="8"/>
  <c r="V65" i="10"/>
  <c r="AB65" i="10" s="1"/>
  <c r="AI72" i="8"/>
  <c r="AC24" i="11"/>
  <c r="AD24" i="11" s="1"/>
  <c r="AA16" i="10"/>
  <c r="AJ16" i="10" s="1"/>
  <c r="AS16" i="10" s="1"/>
  <c r="AY16" i="10" s="1"/>
  <c r="AI52" i="11"/>
  <c r="AJ52" i="11" s="1"/>
  <c r="AG44" i="10"/>
  <c r="AL44" i="10" s="1"/>
  <c r="AW44" i="10" s="1"/>
  <c r="C23" i="6"/>
  <c r="H21" i="6"/>
  <c r="Z15" i="10"/>
  <c r="AI15" i="10" s="1"/>
  <c r="AQ15" i="10" s="1"/>
  <c r="X15" i="10"/>
  <c r="AK15" i="10" s="1"/>
  <c r="AU15" i="10" s="1"/>
  <c r="AZ15" i="10" s="1"/>
  <c r="Y15" i="10"/>
  <c r="AH15" i="10" s="1"/>
  <c r="AO15" i="10" s="1"/>
  <c r="AF65" i="11"/>
  <c r="AG65" i="11" s="1"/>
  <c r="X57" i="10"/>
  <c r="AK57" i="10" s="1"/>
  <c r="AU57" i="10" s="1"/>
  <c r="AZ57" i="10" s="1"/>
  <c r="AZ59" i="10"/>
  <c r="U61" i="17"/>
  <c r="V66" i="10"/>
  <c r="AB66" i="10" s="1"/>
  <c r="AI73" i="8"/>
  <c r="AI63" i="11"/>
  <c r="AJ63" i="11" s="1"/>
  <c r="AG55" i="10"/>
  <c r="AL55" i="10" s="1"/>
  <c r="AW55" i="10" s="1"/>
  <c r="W39" i="10"/>
  <c r="N55" i="11"/>
  <c r="O55" i="11" s="1"/>
  <c r="Z55" i="11"/>
  <c r="AA55" i="11" s="1"/>
  <c r="AI17" i="11"/>
  <c r="AJ17" i="11" s="1"/>
  <c r="AG9" i="10"/>
  <c r="AL9" i="10" s="1"/>
  <c r="AW9" i="10" s="1"/>
  <c r="AF70" i="11"/>
  <c r="AG70" i="11" s="1"/>
  <c r="AF55" i="11"/>
  <c r="AG55" i="11" s="1"/>
  <c r="AI60" i="11"/>
  <c r="AJ60" i="11" s="1"/>
  <c r="AG52" i="10"/>
  <c r="AL52" i="10" s="1"/>
  <c r="AW52" i="10" s="1"/>
  <c r="AI37" i="11"/>
  <c r="AJ37" i="11" s="1"/>
  <c r="AG29" i="10"/>
  <c r="AL29" i="10" s="1"/>
  <c r="AW29" i="10" s="1"/>
  <c r="AI43" i="11"/>
  <c r="AJ43" i="11" s="1"/>
  <c r="AG35" i="10"/>
  <c r="AL35" i="10" s="1"/>
  <c r="AW35" i="10" s="1"/>
  <c r="AI28" i="11"/>
  <c r="AJ28" i="11" s="1"/>
  <c r="AG20" i="10"/>
  <c r="AL20" i="10" s="1"/>
  <c r="AW20" i="10" s="1"/>
  <c r="N71" i="11"/>
  <c r="O71" i="11" s="1"/>
  <c r="Z71" i="11"/>
  <c r="AA71" i="11" s="1"/>
  <c r="W71" i="11"/>
  <c r="X71" i="11" s="1"/>
  <c r="R13" i="10"/>
  <c r="AK14" i="8"/>
  <c r="Z9" i="10"/>
  <c r="AI9" i="10" s="1"/>
  <c r="AQ9" i="10" s="1"/>
  <c r="Y9" i="10"/>
  <c r="AH9" i="10" s="1"/>
  <c r="AO9" i="10" s="1"/>
  <c r="R17" i="10"/>
  <c r="AK18" i="8"/>
  <c r="N57" i="11"/>
  <c r="O57" i="11" s="1"/>
  <c r="Z57" i="11"/>
  <c r="AA57" i="11" s="1"/>
  <c r="W57" i="11"/>
  <c r="X57" i="11" s="1"/>
  <c r="AF21" i="11"/>
  <c r="AG21" i="11" s="1"/>
  <c r="X13" i="10"/>
  <c r="AK13" i="10" s="1"/>
  <c r="AU13" i="10" s="1"/>
  <c r="AZ13" i="10" s="1"/>
  <c r="N14" i="11"/>
  <c r="O14" i="11" s="1"/>
  <c r="Z14" i="11"/>
  <c r="AA14" i="11" s="1"/>
  <c r="W14" i="11"/>
  <c r="X14" i="11" s="1"/>
  <c r="AI65" i="11"/>
  <c r="AJ65" i="11" s="1"/>
  <c r="AG57" i="10"/>
  <c r="AL57" i="10" s="1"/>
  <c r="AW57" i="10" s="1"/>
  <c r="U78" i="17"/>
  <c r="AB47" i="8"/>
  <c r="T43" i="10" s="1"/>
  <c r="V12" i="10"/>
  <c r="AB12" i="10" s="1"/>
  <c r="AI13" i="8"/>
  <c r="AI18" i="8"/>
  <c r="Z57" i="10"/>
  <c r="AI57" i="10" s="1"/>
  <c r="AQ57" i="10" s="1"/>
  <c r="Y57" i="10"/>
  <c r="AH57" i="10" s="1"/>
  <c r="AO57" i="10" s="1"/>
  <c r="R42" i="10"/>
  <c r="AK46" i="8"/>
  <c r="AC68" i="11"/>
  <c r="AD68" i="11" s="1"/>
  <c r="AA60" i="10"/>
  <c r="AJ60" i="10" s="1"/>
  <c r="AS60" i="10" s="1"/>
  <c r="AY60" i="10" s="1"/>
  <c r="AC23" i="11"/>
  <c r="AD23" i="11" s="1"/>
  <c r="AA15" i="10"/>
  <c r="AJ15" i="10" s="1"/>
  <c r="AS15" i="10" s="1"/>
  <c r="AY15" i="10" s="1"/>
  <c r="R18" i="10"/>
  <c r="AK19" i="8"/>
  <c r="AF73" i="11"/>
  <c r="AG73" i="11" s="1"/>
  <c r="X65" i="10"/>
  <c r="AK65" i="10" s="1"/>
  <c r="AU65" i="10" s="1"/>
  <c r="AZ65" i="10" s="1"/>
  <c r="Z62" i="10"/>
  <c r="AI62" i="10" s="1"/>
  <c r="AQ62" i="10" s="1"/>
  <c r="Y62" i="10"/>
  <c r="AH62" i="10" s="1"/>
  <c r="AO62" i="10" s="1"/>
  <c r="N48" i="11"/>
  <c r="O48" i="11" s="1"/>
  <c r="Z48" i="11"/>
  <c r="AA48" i="11" s="1"/>
  <c r="W48" i="11"/>
  <c r="X48" i="11" s="1"/>
  <c r="AI36" i="11"/>
  <c r="AJ36" i="11" s="1"/>
  <c r="AG28" i="10"/>
  <c r="AL28" i="10" s="1"/>
  <c r="AW28" i="10" s="1"/>
  <c r="V27" i="10"/>
  <c r="AB27" i="10" s="1"/>
  <c r="AI31" i="8"/>
  <c r="AZ56" i="10"/>
  <c r="Y51" i="10"/>
  <c r="AH51" i="10" s="1"/>
  <c r="AO51" i="10" s="1"/>
  <c r="Z51" i="10"/>
  <c r="AI51" i="10" s="1"/>
  <c r="AQ51" i="10" s="1"/>
  <c r="Y30" i="10"/>
  <c r="AH30" i="10" s="1"/>
  <c r="AO30" i="10" s="1"/>
  <c r="Z30" i="10"/>
  <c r="AI30" i="10" s="1"/>
  <c r="AQ30" i="10" s="1"/>
  <c r="AF17" i="11"/>
  <c r="AG17" i="11" s="1"/>
  <c r="X9" i="10"/>
  <c r="AK9" i="10" s="1"/>
  <c r="AU9" i="10" s="1"/>
  <c r="AZ9" i="10" s="1"/>
  <c r="U101" i="17"/>
  <c r="AB65" i="8"/>
  <c r="T58" i="10" s="1"/>
  <c r="AI21" i="11"/>
  <c r="AJ21" i="11" s="1"/>
  <c r="AG13" i="10"/>
  <c r="AL13" i="10" s="1"/>
  <c r="AW13" i="10" s="1"/>
  <c r="R28" i="10"/>
  <c r="AK32" i="8"/>
  <c r="W57" i="10"/>
  <c r="R67" i="10"/>
  <c r="AK74" i="8"/>
  <c r="AC22" i="8"/>
  <c r="V44" i="10"/>
  <c r="AB44" i="10" s="1"/>
  <c r="AI48" i="8"/>
  <c r="N51" i="11"/>
  <c r="O51" i="11" s="1"/>
  <c r="Z51" i="11"/>
  <c r="AA51" i="11" s="1"/>
  <c r="AI14" i="11"/>
  <c r="AJ14" i="11" s="1"/>
  <c r="AG6" i="10"/>
  <c r="AL6" i="10" s="1"/>
  <c r="AW6" i="10" s="1"/>
  <c r="AB70" i="8"/>
  <c r="T63" i="10" s="1"/>
  <c r="U108" i="17"/>
  <c r="N45" i="11"/>
  <c r="O45" i="11" s="1"/>
  <c r="Z45" i="11"/>
  <c r="AA45" i="11" s="1"/>
  <c r="W45" i="11"/>
  <c r="X45" i="11" s="1"/>
  <c r="N29" i="11"/>
  <c r="O29" i="11" s="1"/>
  <c r="Z29" i="11"/>
  <c r="AA29" i="11" s="1"/>
  <c r="W29" i="11"/>
  <c r="X29" i="11" s="1"/>
  <c r="N67" i="11"/>
  <c r="O67" i="11" s="1"/>
  <c r="W67" i="11"/>
  <c r="X67" i="11" s="1"/>
  <c r="Z67" i="11"/>
  <c r="AA67" i="11" s="1"/>
  <c r="R23" i="10"/>
  <c r="AK24" i="8"/>
  <c r="AI24" i="8"/>
  <c r="N53" i="11"/>
  <c r="O53" i="11" s="1"/>
  <c r="Z53" i="11"/>
  <c r="AA53" i="11" s="1"/>
  <c r="W53" i="11"/>
  <c r="X53" i="11" s="1"/>
  <c r="AI40" i="11"/>
  <c r="AJ40" i="11" s="1"/>
  <c r="AG32" i="10"/>
  <c r="AL32" i="10" s="1"/>
  <c r="AW32" i="10" s="1"/>
  <c r="V52" i="10"/>
  <c r="AB52" i="10" s="1"/>
  <c r="AI59" i="8"/>
  <c r="AI22" i="11"/>
  <c r="AJ22" i="11" s="1"/>
  <c r="AG14" i="10"/>
  <c r="AL14" i="10" s="1"/>
  <c r="AW14" i="10" s="1"/>
  <c r="Z29" i="10"/>
  <c r="AI29" i="10" s="1"/>
  <c r="AQ29" i="10" s="1"/>
  <c r="Y29" i="10"/>
  <c r="AH29" i="10" s="1"/>
  <c r="AO29" i="10" s="1"/>
  <c r="N17" i="11"/>
  <c r="O17" i="11" s="1"/>
  <c r="Z17" i="11"/>
  <c r="AA17" i="11" s="1"/>
  <c r="W17" i="11"/>
  <c r="X17" i="11" s="1"/>
  <c r="V28" i="10"/>
  <c r="AB28" i="10" s="1"/>
  <c r="AI32" i="8"/>
  <c r="V58" i="10"/>
  <c r="AB58" i="10" s="1"/>
  <c r="AI65" i="8"/>
  <c r="N38" i="11"/>
  <c r="O38" i="11" s="1"/>
  <c r="Z38" i="11"/>
  <c r="AA38" i="11" s="1"/>
  <c r="W38" i="11"/>
  <c r="X38" i="11" s="1"/>
  <c r="AF75" i="11"/>
  <c r="AG75" i="11" s="1"/>
  <c r="X67" i="10"/>
  <c r="AK67" i="10" s="1"/>
  <c r="AU67" i="10" s="1"/>
  <c r="AZ67" i="10" s="1"/>
  <c r="V6" i="10"/>
  <c r="AB6" i="10" s="1"/>
  <c r="AI7" i="8"/>
  <c r="R61" i="10"/>
  <c r="AK68" i="8"/>
  <c r="R38" i="10"/>
  <c r="AK42" i="8"/>
  <c r="R8" i="10"/>
  <c r="AK9" i="8"/>
  <c r="AI34" i="11"/>
  <c r="AJ34" i="11" s="1"/>
  <c r="AG26" i="10"/>
  <c r="AL26" i="10" s="1"/>
  <c r="AW26" i="10" s="1"/>
  <c r="AF18" i="11"/>
  <c r="AG18" i="11" s="1"/>
  <c r="X10" i="10"/>
  <c r="AK10" i="10" s="1"/>
  <c r="AU10" i="10" s="1"/>
  <c r="AZ10" i="10" s="1"/>
  <c r="AI48" i="11"/>
  <c r="AJ48" i="11" s="1"/>
  <c r="AG40" i="10"/>
  <c r="AL40" i="10" s="1"/>
  <c r="AW40" i="10" s="1"/>
  <c r="AI75" i="11"/>
  <c r="AJ75" i="11" s="1"/>
  <c r="AG67" i="10"/>
  <c r="AL67" i="10" s="1"/>
  <c r="AW67" i="10" s="1"/>
  <c r="V20" i="10"/>
  <c r="AB20" i="10" s="1"/>
  <c r="AI21" i="8"/>
  <c r="AC38" i="8"/>
  <c r="AF40" i="11"/>
  <c r="AG40" i="11" s="1"/>
  <c r="X32" i="10"/>
  <c r="AK32" i="10" s="1"/>
  <c r="AU32" i="10" s="1"/>
  <c r="AZ32" i="10" s="1"/>
  <c r="W33" i="10"/>
  <c r="AF37" i="11"/>
  <c r="AG37" i="11" s="1"/>
  <c r="X29" i="10"/>
  <c r="AK29" i="10" s="1"/>
  <c r="AU29" i="10" s="1"/>
  <c r="AZ29" i="10" s="1"/>
  <c r="AI24" i="11"/>
  <c r="AJ24" i="11" s="1"/>
  <c r="AG16" i="10"/>
  <c r="AL16" i="10" s="1"/>
  <c r="AW16" i="10" s="1"/>
  <c r="N66" i="11"/>
  <c r="O66" i="11" s="1"/>
  <c r="Z66" i="11"/>
  <c r="AA66" i="11" s="1"/>
  <c r="W66" i="11"/>
  <c r="X66" i="11" s="1"/>
  <c r="N49" i="11"/>
  <c r="O49" i="11" s="1"/>
  <c r="Z49" i="11"/>
  <c r="AA49" i="11" s="1"/>
  <c r="W49" i="11"/>
  <c r="X49" i="11" s="1"/>
  <c r="R21" i="10"/>
  <c r="AK22" i="8"/>
  <c r="N50" i="11"/>
  <c r="O50" i="11" s="1"/>
  <c r="Z50" i="11"/>
  <c r="AA50" i="11" s="1"/>
  <c r="W50" i="11"/>
  <c r="X50" i="11" s="1"/>
  <c r="Y63" i="10"/>
  <c r="AH63" i="10" s="1"/>
  <c r="AO63" i="10" s="1"/>
  <c r="Z63" i="10"/>
  <c r="AI63" i="10" s="1"/>
  <c r="AQ63" i="10" s="1"/>
  <c r="N58" i="11"/>
  <c r="O58" i="11" s="1"/>
  <c r="Z58" i="11"/>
  <c r="AA58" i="11" s="1"/>
  <c r="W58" i="11"/>
  <c r="X58" i="11" s="1"/>
  <c r="AC53" i="11"/>
  <c r="AD53" i="11" s="1"/>
  <c r="AA45" i="10"/>
  <c r="AJ45" i="10" s="1"/>
  <c r="AS45" i="10" s="1"/>
  <c r="AY45" i="10" s="1"/>
  <c r="AB56" i="8"/>
  <c r="T49" i="10" s="1"/>
  <c r="U88" i="17"/>
  <c r="AC32" i="11"/>
  <c r="AD32" i="11" s="1"/>
  <c r="AA24" i="10"/>
  <c r="AJ24" i="10" s="1"/>
  <c r="AS24" i="10" s="1"/>
  <c r="AY24" i="10" s="1"/>
  <c r="Z17" i="10"/>
  <c r="AI17" i="10" s="1"/>
  <c r="AQ17" i="10" s="1"/>
  <c r="Y17" i="10"/>
  <c r="AH17" i="10" s="1"/>
  <c r="AO17" i="10" s="1"/>
  <c r="N39" i="11"/>
  <c r="O39" i="11" s="1"/>
  <c r="Z39" i="11"/>
  <c r="AA39" i="11" s="1"/>
  <c r="R27" i="10"/>
  <c r="AK31" i="8"/>
  <c r="R37" i="10"/>
  <c r="AK41" i="8"/>
  <c r="AI38" i="11"/>
  <c r="AJ38" i="11" s="1"/>
  <c r="AG30" i="10"/>
  <c r="AL30" i="10" s="1"/>
  <c r="AW30" i="10" s="1"/>
  <c r="W62" i="10"/>
  <c r="AF39" i="11"/>
  <c r="AG39" i="11" s="1"/>
  <c r="AF42" i="11"/>
  <c r="AG42" i="11" s="1"/>
  <c r="X34" i="10"/>
  <c r="AK34" i="10" s="1"/>
  <c r="AU34" i="10" s="1"/>
  <c r="AZ34" i="10" s="1"/>
  <c r="AI64" i="11"/>
  <c r="AJ64" i="11" s="1"/>
  <c r="AG56" i="10"/>
  <c r="AL56" i="10" s="1"/>
  <c r="AW56" i="10" s="1"/>
  <c r="AF69" i="11"/>
  <c r="AG69" i="11" s="1"/>
  <c r="X61" i="10"/>
  <c r="AK61" i="10" s="1"/>
  <c r="AU61" i="10" s="1"/>
  <c r="AZ61" i="10" s="1"/>
  <c r="AF66" i="11"/>
  <c r="AG66" i="11" s="1"/>
  <c r="N64" i="11"/>
  <c r="O64" i="11" s="1"/>
  <c r="Z64" i="11"/>
  <c r="AA64" i="11" s="1"/>
  <c r="W64" i="11"/>
  <c r="X64" i="11" s="1"/>
  <c r="W13" i="10"/>
  <c r="AF46" i="11"/>
  <c r="AG46" i="11" s="1"/>
  <c r="X38" i="10"/>
  <c r="AK38" i="10" s="1"/>
  <c r="AU38" i="10" s="1"/>
  <c r="V60" i="10"/>
  <c r="AB60" i="10" s="1"/>
  <c r="AI67" i="8"/>
  <c r="V26" i="10"/>
  <c r="AB26" i="10" s="1"/>
  <c r="AI27" i="8"/>
  <c r="AF50" i="11"/>
  <c r="AG50" i="11" s="1"/>
  <c r="X42" i="10"/>
  <c r="AK42" i="10" s="1"/>
  <c r="AU42" i="10" s="1"/>
  <c r="AZ42" i="10" s="1"/>
  <c r="AF36" i="11"/>
  <c r="AG36" i="11" s="1"/>
  <c r="X28" i="10"/>
  <c r="AK28" i="10" s="1"/>
  <c r="AU28" i="10" s="1"/>
  <c r="AZ28" i="10" s="1"/>
  <c r="AZ58" i="10"/>
  <c r="R22" i="10"/>
  <c r="AC30" i="11" s="1"/>
  <c r="AD30" i="11" s="1"/>
  <c r="AK23" i="8"/>
  <c r="AB68" i="8"/>
  <c r="T61" i="10" s="1"/>
  <c r="U105" i="17"/>
  <c r="V16" i="10"/>
  <c r="AB16" i="10" s="1"/>
  <c r="AI17" i="8"/>
  <c r="W49" i="10"/>
  <c r="Y41" i="10"/>
  <c r="AH41" i="10" s="1"/>
  <c r="AO41" i="10" s="1"/>
  <c r="Z41" i="10"/>
  <c r="AI41" i="10" s="1"/>
  <c r="AQ41" i="10" s="1"/>
  <c r="AF29" i="11"/>
  <c r="AG29" i="11" s="1"/>
  <c r="X21" i="10"/>
  <c r="AK21" i="10" s="1"/>
  <c r="AU21" i="10" s="1"/>
  <c r="AZ21" i="10" s="1"/>
  <c r="AB33" i="10"/>
  <c r="R44" i="10"/>
  <c r="AK48" i="8"/>
  <c r="Y46" i="10"/>
  <c r="AH46" i="10" s="1"/>
  <c r="AO46" i="10" s="1"/>
  <c r="Z46" i="10"/>
  <c r="AI46" i="10" s="1"/>
  <c r="AQ46" i="10" s="1"/>
  <c r="AC19" i="11"/>
  <c r="AD19" i="11" s="1"/>
  <c r="AA11" i="10"/>
  <c r="AJ11" i="10" s="1"/>
  <c r="AS11" i="10" s="1"/>
  <c r="AY11" i="10" s="1"/>
  <c r="AI44" i="11"/>
  <c r="AJ44" i="11" s="1"/>
  <c r="AG36" i="10"/>
  <c r="AL36" i="10" s="1"/>
  <c r="AW36" i="10" s="1"/>
  <c r="AC71" i="11"/>
  <c r="AD71" i="11" s="1"/>
  <c r="AA63" i="10"/>
  <c r="AJ63" i="10" s="1"/>
  <c r="AS63" i="10" s="1"/>
  <c r="AY63" i="10" s="1"/>
  <c r="AF35" i="11"/>
  <c r="AG35" i="11" s="1"/>
  <c r="X27" i="10"/>
  <c r="AK27" i="10" s="1"/>
  <c r="AU27" i="10" s="1"/>
  <c r="AZ27" i="10" s="1"/>
  <c r="AF45" i="11"/>
  <c r="AG45" i="11" s="1"/>
  <c r="X37" i="10"/>
  <c r="AK37" i="10" s="1"/>
  <c r="AU37" i="10" s="1"/>
  <c r="V30" i="10"/>
  <c r="AB30" i="10" s="1"/>
  <c r="AI34" i="8"/>
  <c r="R51" i="10"/>
  <c r="AK58" i="8"/>
  <c r="V9" i="10"/>
  <c r="AB9" i="10" s="1"/>
  <c r="AI10" i="8"/>
  <c r="N76" i="11"/>
  <c r="O76" i="11" s="1"/>
  <c r="W76" i="11"/>
  <c r="X76" i="11" s="1"/>
  <c r="Z76" i="11"/>
  <c r="AA76" i="11" s="1"/>
  <c r="V56" i="10"/>
  <c r="AB56" i="10" s="1"/>
  <c r="AI63" i="8"/>
  <c r="R40" i="10"/>
  <c r="AK44" i="8"/>
  <c r="N27" i="11"/>
  <c r="O27" i="11" s="1"/>
  <c r="Z27" i="11"/>
  <c r="AA27" i="11" s="1"/>
  <c r="W27" i="11"/>
  <c r="X27" i="11" s="1"/>
  <c r="AG47" i="10"/>
  <c r="AL47" i="10" s="1"/>
  <c r="AW47" i="10" s="1"/>
  <c r="N63" i="11"/>
  <c r="O63" i="11" s="1"/>
  <c r="W63" i="11"/>
  <c r="X63" i="11" s="1"/>
  <c r="Z63" i="11"/>
  <c r="AA63" i="11" s="1"/>
  <c r="N40" i="11"/>
  <c r="O40" i="11" s="1"/>
  <c r="Z40" i="11"/>
  <c r="AA40" i="11" s="1"/>
  <c r="W40" i="11"/>
  <c r="X40" i="11" s="1"/>
  <c r="AI68" i="11"/>
  <c r="AJ68" i="11" s="1"/>
  <c r="AG60" i="10"/>
  <c r="AL60" i="10" s="1"/>
  <c r="AW60" i="10" s="1"/>
  <c r="V57" i="10"/>
  <c r="AB57" i="10" s="1"/>
  <c r="AI64" i="8"/>
  <c r="R32" i="10"/>
  <c r="AK36" i="8"/>
  <c r="Y37" i="10"/>
  <c r="AH37" i="10" s="1"/>
  <c r="AO37" i="10" s="1"/>
  <c r="Z37" i="10"/>
  <c r="AI37" i="10" s="1"/>
  <c r="AQ37" i="10" s="1"/>
  <c r="AF31" i="11"/>
  <c r="AG31" i="11" s="1"/>
  <c r="X23" i="10"/>
  <c r="AK23" i="10" s="1"/>
  <c r="AU23" i="10" s="1"/>
  <c r="V67" i="10"/>
  <c r="AB67" i="10" s="1"/>
  <c r="AI74" i="8"/>
  <c r="AZ63" i="10"/>
  <c r="AC47" i="11"/>
  <c r="AD47" i="11" s="1"/>
  <c r="AA39" i="10"/>
  <c r="AJ39" i="10" s="1"/>
  <c r="AS39" i="10" s="1"/>
  <c r="AY39" i="10" s="1"/>
  <c r="Z40" i="10"/>
  <c r="AI40" i="10" s="1"/>
  <c r="AQ40" i="10" s="1"/>
  <c r="Y40" i="10"/>
  <c r="AH40" i="10" s="1"/>
  <c r="AO40" i="10" s="1"/>
  <c r="V61" i="10"/>
  <c r="AB61" i="10" s="1"/>
  <c r="AI68" i="8"/>
  <c r="V59" i="10"/>
  <c r="AB59" i="10" s="1"/>
  <c r="AI66" i="8"/>
  <c r="R6" i="10"/>
  <c r="AK7" i="8"/>
  <c r="V7" i="10"/>
  <c r="AB7" i="10" s="1"/>
  <c r="AI8" i="8"/>
  <c r="R49" i="10"/>
  <c r="AK56" i="8"/>
  <c r="AF52" i="11"/>
  <c r="AG52" i="11" s="1"/>
  <c r="X44" i="10"/>
  <c r="AK44" i="10" s="1"/>
  <c r="AU44" i="10" s="1"/>
  <c r="R33" i="10"/>
  <c r="AK37" i="8"/>
  <c r="AI37" i="8"/>
  <c r="W46" i="10"/>
  <c r="V36" i="10"/>
  <c r="AB36" i="10" s="1"/>
  <c r="AI40" i="8"/>
  <c r="AI56" i="11"/>
  <c r="AJ56" i="11" s="1"/>
  <c r="AG48" i="10"/>
  <c r="AL48" i="10" s="1"/>
  <c r="AW48" i="10" s="1"/>
  <c r="AA66" i="10"/>
  <c r="AJ66" i="10" s="1"/>
  <c r="AS66" i="10" s="1"/>
  <c r="AY66" i="10" s="1"/>
  <c r="AC74" i="11"/>
  <c r="AD74" i="11" s="1"/>
  <c r="R46" i="10"/>
  <c r="AK50" i="8"/>
  <c r="AI18" i="11"/>
  <c r="AJ18" i="11" s="1"/>
  <c r="AG10" i="10"/>
  <c r="AL10" i="10" s="1"/>
  <c r="AW10" i="10" s="1"/>
  <c r="AG62" i="10"/>
  <c r="AL62" i="10" s="1"/>
  <c r="AW62" i="10" s="1"/>
  <c r="AF59" i="11"/>
  <c r="AG59" i="11" s="1"/>
  <c r="X51" i="10"/>
  <c r="AK51" i="10" s="1"/>
  <c r="AU51" i="10" s="1"/>
  <c r="AZ51" i="10" s="1"/>
  <c r="R41" i="10"/>
  <c r="AK45" i="8"/>
  <c r="AI45" i="8"/>
  <c r="AI32" i="11"/>
  <c r="AJ32" i="11" s="1"/>
  <c r="AG24" i="10"/>
  <c r="AL24" i="10" s="1"/>
  <c r="AW24" i="10" s="1"/>
  <c r="AI26" i="11"/>
  <c r="AJ26" i="11" s="1"/>
  <c r="AG18" i="10"/>
  <c r="AL18" i="10" s="1"/>
  <c r="AW18" i="10" s="1"/>
  <c r="AF48" i="11"/>
  <c r="AG48" i="11" s="1"/>
  <c r="X40" i="10"/>
  <c r="AK40" i="10" s="1"/>
  <c r="AU40" i="10" s="1"/>
  <c r="AZ40" i="10" s="1"/>
  <c r="Z19" i="10"/>
  <c r="AI19" i="10" s="1"/>
  <c r="AQ19" i="10" s="1"/>
  <c r="AZ19" i="10" s="1"/>
  <c r="Y19" i="10"/>
  <c r="AH19" i="10" s="1"/>
  <c r="AO19" i="10" s="1"/>
  <c r="AI55" i="11"/>
  <c r="AJ55" i="11" s="1"/>
  <c r="W63" i="10"/>
  <c r="AF25" i="11"/>
  <c r="AG25" i="11" s="1"/>
  <c r="X17" i="10"/>
  <c r="AK17" i="10" s="1"/>
  <c r="AU17" i="10" s="1"/>
  <c r="AZ17" i="10" s="1"/>
  <c r="AB38" i="8"/>
  <c r="T34" i="10" s="1"/>
  <c r="U68" i="17"/>
  <c r="U59" i="17"/>
  <c r="AB31" i="8"/>
  <c r="T27" i="10" s="1"/>
  <c r="AC27" i="11"/>
  <c r="AD27" i="11" s="1"/>
  <c r="AA19" i="10"/>
  <c r="AJ19" i="10" s="1"/>
  <c r="AS19" i="10" s="1"/>
  <c r="R26" i="10"/>
  <c r="AK27" i="8"/>
  <c r="V40" i="10"/>
  <c r="AB40" i="10" s="1"/>
  <c r="AI44" i="8"/>
  <c r="N43" i="11"/>
  <c r="O43" i="11" s="1"/>
  <c r="Z43" i="11"/>
  <c r="AA43" i="11" s="1"/>
  <c r="AF34" i="11"/>
  <c r="AG34" i="11" s="1"/>
  <c r="X26" i="10"/>
  <c r="AK26" i="10" s="1"/>
  <c r="AU26" i="10" s="1"/>
  <c r="AZ26" i="10" s="1"/>
  <c r="N31" i="11"/>
  <c r="O31" i="11" s="1"/>
  <c r="W31" i="11"/>
  <c r="X31" i="11" s="1"/>
  <c r="Z31" i="11"/>
  <c r="AA31" i="11" s="1"/>
  <c r="AF71" i="11"/>
  <c r="AG71" i="11" s="1"/>
  <c r="AC72" i="11"/>
  <c r="AD72" i="11" s="1"/>
  <c r="AA64" i="10"/>
  <c r="AJ64" i="10" s="1"/>
  <c r="AS64" i="10" s="1"/>
  <c r="AY64" i="10" s="1"/>
  <c r="AI45" i="11"/>
  <c r="AJ45" i="11" s="1"/>
  <c r="AG37" i="10"/>
  <c r="AL37" i="10" s="1"/>
  <c r="AW37" i="10" s="1"/>
  <c r="N15" i="11"/>
  <c r="O15" i="11" s="1"/>
  <c r="W15" i="11"/>
  <c r="X15" i="11" s="1"/>
  <c r="Z15" i="11"/>
  <c r="AA15" i="11" s="1"/>
  <c r="AI58" i="11"/>
  <c r="AJ58" i="11" s="1"/>
  <c r="AG50" i="10"/>
  <c r="AL50" i="10" s="1"/>
  <c r="AW50" i="10" s="1"/>
  <c r="N41" i="11"/>
  <c r="O41" i="11" s="1"/>
  <c r="W41" i="11"/>
  <c r="X41" i="11" s="1"/>
  <c r="Z41" i="11"/>
  <c r="AA41" i="11" s="1"/>
  <c r="N46" i="11"/>
  <c r="O46" i="11" s="1"/>
  <c r="W46" i="11"/>
  <c r="X46" i="11" s="1"/>
  <c r="Z46" i="11"/>
  <c r="AA46" i="11" s="1"/>
  <c r="Z58" i="10"/>
  <c r="AI58" i="10" s="1"/>
  <c r="AQ58" i="10" s="1"/>
  <c r="Y58" i="10"/>
  <c r="AH58" i="10" s="1"/>
  <c r="AO58" i="10" s="1"/>
  <c r="AI54" i="11"/>
  <c r="AJ54" i="11" s="1"/>
  <c r="AG46" i="10"/>
  <c r="AL46" i="10" s="1"/>
  <c r="AW46" i="10" s="1"/>
  <c r="AI67" i="11"/>
  <c r="AJ67" i="11" s="1"/>
  <c r="AG59" i="10"/>
  <c r="AL59" i="10" s="1"/>
  <c r="AW59" i="10" s="1"/>
  <c r="AC58" i="11"/>
  <c r="AD58" i="11" s="1"/>
  <c r="AA50" i="10"/>
  <c r="AJ50" i="10" s="1"/>
  <c r="AS50" i="10" s="1"/>
  <c r="AY50" i="10" s="1"/>
  <c r="AC20" i="11"/>
  <c r="AD20" i="11" s="1"/>
  <c r="AA12" i="10"/>
  <c r="AJ12" i="10" s="1"/>
  <c r="AS12" i="10" s="1"/>
  <c r="AY12" i="10" s="1"/>
  <c r="AF14" i="11"/>
  <c r="AG14" i="11" s="1"/>
  <c r="X6" i="10"/>
  <c r="AK6" i="10" s="1"/>
  <c r="AU6" i="10" s="1"/>
  <c r="AZ6" i="10" s="1"/>
  <c r="N44" i="11"/>
  <c r="O44" i="11" s="1"/>
  <c r="W44" i="11"/>
  <c r="X44" i="11" s="1"/>
  <c r="Z44" i="11"/>
  <c r="AA44" i="11" s="1"/>
  <c r="N42" i="11"/>
  <c r="O42" i="11" s="1"/>
  <c r="W42" i="11"/>
  <c r="X42" i="11" s="1"/>
  <c r="Z42" i="11"/>
  <c r="AA42" i="11" s="1"/>
  <c r="N73" i="11"/>
  <c r="O73" i="11" s="1"/>
  <c r="Z73" i="11"/>
  <c r="AA73" i="11" s="1"/>
  <c r="W73" i="11"/>
  <c r="X73" i="11" s="1"/>
  <c r="R25" i="10"/>
  <c r="AK26" i="8"/>
  <c r="AI26" i="8"/>
  <c r="W43" i="11"/>
  <c r="X43" i="11" s="1"/>
  <c r="AI15" i="11"/>
  <c r="AJ15" i="11" s="1"/>
  <c r="AG7" i="10"/>
  <c r="AL7" i="10" s="1"/>
  <c r="AW7" i="10" s="1"/>
  <c r="W58" i="10"/>
  <c r="AF57" i="11"/>
  <c r="AG57" i="11" s="1"/>
  <c r="X49" i="10"/>
  <c r="AK49" i="10" s="1"/>
  <c r="AU49" i="10" s="1"/>
  <c r="AZ49" i="10" s="1"/>
  <c r="R30" i="10"/>
  <c r="AK34" i="8"/>
  <c r="AF41" i="11"/>
  <c r="AG41" i="11" s="1"/>
  <c r="X33" i="10"/>
  <c r="AK33" i="10" s="1"/>
  <c r="AU33" i="10" s="1"/>
  <c r="AZ33" i="10" s="1"/>
  <c r="R68" i="10"/>
  <c r="AK75" i="8"/>
  <c r="R14" i="10"/>
  <c r="AK15" i="8"/>
  <c r="V22" i="10"/>
  <c r="AI23" i="8"/>
  <c r="AI76" i="11"/>
  <c r="AJ76" i="11" s="1"/>
  <c r="AG68" i="10"/>
  <c r="AL68" i="10" s="1"/>
  <c r="AW68" i="10" s="1"/>
  <c r="V48" i="10"/>
  <c r="AB48" i="10" s="1"/>
  <c r="AI55" i="8"/>
  <c r="AF54" i="11"/>
  <c r="AG54" i="11" s="1"/>
  <c r="X46" i="10"/>
  <c r="AK46" i="10" s="1"/>
  <c r="AU46" i="10" s="1"/>
  <c r="V10" i="10"/>
  <c r="AB10" i="10" s="1"/>
  <c r="AI11" i="8"/>
  <c r="AC15" i="11"/>
  <c r="AD15" i="11" s="1"/>
  <c r="AA7" i="10"/>
  <c r="AJ7" i="10" s="1"/>
  <c r="AS7" i="10" s="1"/>
  <c r="AY7" i="10" s="1"/>
  <c r="V19" i="10"/>
  <c r="AB19" i="10" s="1"/>
  <c r="AI20" i="8"/>
  <c r="AI70" i="11"/>
  <c r="AJ70" i="11" s="1"/>
  <c r="R53" i="10"/>
  <c r="AK60" i="8"/>
  <c r="AF49" i="11"/>
  <c r="AG49" i="11" s="1"/>
  <c r="X41" i="10"/>
  <c r="AK41" i="10" s="1"/>
  <c r="AU41" i="10" s="1"/>
  <c r="AZ41" i="10" s="1"/>
  <c r="AC39" i="11"/>
  <c r="AD39" i="11" s="1"/>
  <c r="AA31" i="10"/>
  <c r="AJ31" i="10" s="1"/>
  <c r="AS31" i="10" s="1"/>
  <c r="AY31" i="10" s="1"/>
  <c r="V24" i="10"/>
  <c r="AB24" i="10" s="1"/>
  <c r="AI25" i="8"/>
  <c r="AC70" i="11"/>
  <c r="AD70" i="11" s="1"/>
  <c r="AA62" i="10"/>
  <c r="AJ62" i="10" s="1"/>
  <c r="AS62" i="10" s="1"/>
  <c r="AY62" i="10" s="1"/>
  <c r="V18" i="10"/>
  <c r="AB18" i="10" s="1"/>
  <c r="AI19" i="8"/>
  <c r="R36" i="10"/>
  <c r="AK40" i="8"/>
  <c r="Y43" i="10"/>
  <c r="AH43" i="10" s="1"/>
  <c r="AO43" i="10" s="1"/>
  <c r="N32" i="11"/>
  <c r="O32" i="11" s="1"/>
  <c r="W32" i="11"/>
  <c r="X32" i="11" s="1"/>
  <c r="Z32" i="11"/>
  <c r="AA32" i="11" s="1"/>
  <c r="W43" i="10"/>
  <c r="W29" i="10"/>
  <c r="AB9" i="8"/>
  <c r="T8" i="10" s="1"/>
  <c r="U33" i="17"/>
  <c r="AC66" i="11"/>
  <c r="AD66" i="11" s="1"/>
  <c r="AA58" i="10"/>
  <c r="AJ58" i="10" s="1"/>
  <c r="AS58" i="10" s="1"/>
  <c r="AY58" i="10" s="1"/>
  <c r="R10" i="10"/>
  <c r="AK11" i="8"/>
  <c r="W37" i="10"/>
  <c r="AC67" i="11"/>
  <c r="AD67" i="11" s="1"/>
  <c r="AA59" i="10"/>
  <c r="AJ59" i="10" s="1"/>
  <c r="AS59" i="10" s="1"/>
  <c r="AY59" i="10" s="1"/>
  <c r="R48" i="10"/>
  <c r="AK55" i="8"/>
  <c r="AB22" i="8"/>
  <c r="T21" i="10" s="1"/>
  <c r="U51" i="17"/>
  <c r="R34" i="10"/>
  <c r="AK38" i="8"/>
  <c r="V32" i="10"/>
  <c r="AB32" i="10" s="1"/>
  <c r="AI36" i="8"/>
  <c r="V14" i="10"/>
  <c r="AB14" i="10" s="1"/>
  <c r="AI15" i="8"/>
  <c r="V37" i="10"/>
  <c r="AB37" i="10" s="1"/>
  <c r="AI41" i="8"/>
  <c r="Y23" i="10"/>
  <c r="AH23" i="10" s="1"/>
  <c r="AO23" i="10" s="1"/>
  <c r="Z23" i="10"/>
  <c r="AI23" i="10" s="1"/>
  <c r="AQ23" i="10" s="1"/>
  <c r="Z38" i="10"/>
  <c r="AI38" i="10" s="1"/>
  <c r="AQ38" i="10" s="1"/>
  <c r="Y38" i="10"/>
  <c r="AH38" i="10" s="1"/>
  <c r="AO38" i="10" s="1"/>
  <c r="AC62" i="11"/>
  <c r="AD62" i="11" s="1"/>
  <c r="AA54" i="10"/>
  <c r="AJ54" i="10" s="1"/>
  <c r="AS54" i="10" s="1"/>
  <c r="AY54" i="10" s="1"/>
  <c r="Y7" i="10"/>
  <c r="AH7" i="10" s="1"/>
  <c r="AO7" i="10" s="1"/>
  <c r="Z7" i="10"/>
  <c r="AI7" i="10" s="1"/>
  <c r="AQ7" i="10" s="1"/>
  <c r="AZ7" i="10" s="1"/>
  <c r="V50" i="10"/>
  <c r="AB50" i="10" s="1"/>
  <c r="AI57" i="8"/>
  <c r="AB5" i="16"/>
  <c r="AB6" i="16" s="1"/>
  <c r="Z6" i="16"/>
  <c r="Y33" i="10"/>
  <c r="AH33" i="10" s="1"/>
  <c r="AO33" i="10" s="1"/>
  <c r="Z33" i="10"/>
  <c r="AI33" i="10" s="1"/>
  <c r="AQ33" i="10" s="1"/>
  <c r="Z36" i="10"/>
  <c r="AI36" i="10" s="1"/>
  <c r="AQ36" i="10" s="1"/>
  <c r="Y36" i="10"/>
  <c r="AH36" i="10" s="1"/>
  <c r="AO36" i="10" s="1"/>
  <c r="Z44" i="10"/>
  <c r="AI44" i="10" s="1"/>
  <c r="AQ44" i="10" s="1"/>
  <c r="Y44" i="10"/>
  <c r="AH44" i="10" s="1"/>
  <c r="AO44" i="10" s="1"/>
  <c r="V46" i="10"/>
  <c r="AB46" i="10" s="1"/>
  <c r="AI50" i="8"/>
  <c r="G19" i="6"/>
  <c r="B21" i="6"/>
  <c r="AF33" i="11"/>
  <c r="AG33" i="11" s="1"/>
  <c r="X25" i="10"/>
  <c r="AK25" i="10" s="1"/>
  <c r="AU25" i="10" s="1"/>
  <c r="AI62" i="11"/>
  <c r="AJ62" i="11" s="1"/>
  <c r="AG54" i="10"/>
  <c r="AL54" i="10" s="1"/>
  <c r="AW54" i="10" s="1"/>
  <c r="V51" i="10"/>
  <c r="AB51" i="10" s="1"/>
  <c r="AI58" i="8"/>
  <c r="AI50" i="11"/>
  <c r="AJ50" i="11" s="1"/>
  <c r="AG42" i="10"/>
  <c r="AL42" i="10" s="1"/>
  <c r="AW42" i="10" s="1"/>
  <c r="N47" i="11"/>
  <c r="O47" i="11" s="1"/>
  <c r="Z47" i="11"/>
  <c r="AA47" i="11" s="1"/>
  <c r="AI46" i="11"/>
  <c r="AJ46" i="11" s="1"/>
  <c r="AG38" i="10"/>
  <c r="AL38" i="10" s="1"/>
  <c r="AW38" i="10" s="1"/>
  <c r="I91" i="8"/>
  <c r="AF38" i="11"/>
  <c r="AG38" i="11" s="1"/>
  <c r="X30" i="10"/>
  <c r="AK30" i="10" s="1"/>
  <c r="AU30" i="10" s="1"/>
  <c r="AZ30" i="10" s="1"/>
  <c r="N21" i="11"/>
  <c r="O21" i="11" s="1"/>
  <c r="W21" i="11"/>
  <c r="X21" i="11" s="1"/>
  <c r="Z21" i="11"/>
  <c r="AA21" i="11" s="1"/>
  <c r="AF76" i="11"/>
  <c r="AG76" i="11" s="1"/>
  <c r="X68" i="10"/>
  <c r="AK68" i="10" s="1"/>
  <c r="AU68" i="10" s="1"/>
  <c r="AZ68" i="10" s="1"/>
  <c r="AF22" i="11"/>
  <c r="AG22" i="11" s="1"/>
  <c r="X14" i="10"/>
  <c r="AK14" i="10" s="1"/>
  <c r="AU14" i="10" s="1"/>
  <c r="AZ14" i="10" s="1"/>
  <c r="V68" i="10"/>
  <c r="AB68" i="10" s="1"/>
  <c r="AI75" i="8"/>
  <c r="W51" i="10"/>
  <c r="AI41" i="11"/>
  <c r="AJ41" i="11" s="1"/>
  <c r="N54" i="11"/>
  <c r="O54" i="11" s="1"/>
  <c r="Z54" i="11"/>
  <c r="AA54" i="11" s="1"/>
  <c r="W54" i="11"/>
  <c r="X54" i="11" s="1"/>
  <c r="W41" i="10"/>
  <c r="AI73" i="11"/>
  <c r="AJ73" i="11" s="1"/>
  <c r="AG65" i="10"/>
  <c r="AL65" i="10" s="1"/>
  <c r="AW65" i="10" s="1"/>
  <c r="AI27" i="11"/>
  <c r="AJ27" i="11" s="1"/>
  <c r="AG19" i="10"/>
  <c r="AL19" i="10" s="1"/>
  <c r="AW19" i="10" s="1"/>
  <c r="Y25" i="10"/>
  <c r="AH25" i="10" s="1"/>
  <c r="AO25" i="10" s="1"/>
  <c r="Z25" i="10"/>
  <c r="AI25" i="10" s="1"/>
  <c r="AQ25" i="10" s="1"/>
  <c r="N23" i="11"/>
  <c r="O23" i="11" s="1"/>
  <c r="AF23" i="11"/>
  <c r="AG23" i="11" s="1"/>
  <c r="W23" i="11"/>
  <c r="X23" i="11" s="1"/>
  <c r="Z23" i="11"/>
  <c r="AA23" i="11" s="1"/>
  <c r="AF61" i="11"/>
  <c r="AG61" i="11" s="1"/>
  <c r="X53" i="10"/>
  <c r="AK53" i="10" s="1"/>
  <c r="AU53" i="10" s="1"/>
  <c r="AZ53" i="10" s="1"/>
  <c r="R57" i="10"/>
  <c r="AK64" i="8"/>
  <c r="R52" i="10"/>
  <c r="AK59" i="8"/>
  <c r="W38" i="10"/>
  <c r="AI74" i="11"/>
  <c r="AJ74" i="11" s="1"/>
  <c r="AG66" i="10"/>
  <c r="AL66" i="10" s="1"/>
  <c r="AW66" i="10" s="1"/>
  <c r="V55" i="10"/>
  <c r="AB55" i="10" s="1"/>
  <c r="AI62" i="8"/>
  <c r="AF44" i="11"/>
  <c r="AG44" i="11" s="1"/>
  <c r="X36" i="10"/>
  <c r="AK36" i="10" s="1"/>
  <c r="AU36" i="10" s="1"/>
  <c r="AZ36" i="10" s="1"/>
  <c r="W17" i="10"/>
  <c r="W51" i="11"/>
  <c r="X51" i="11" s="1"/>
  <c r="X62" i="10"/>
  <c r="AK62" i="10" s="1"/>
  <c r="AU62" i="10" s="1"/>
  <c r="AZ62" i="10" s="1"/>
  <c r="X47" i="10"/>
  <c r="AK47" i="10" s="1"/>
  <c r="AU47" i="10" s="1"/>
  <c r="AZ47" i="10" s="1"/>
  <c r="AC9" i="8"/>
  <c r="V29" i="10"/>
  <c r="AB29" i="10" s="1"/>
  <c r="AI33" i="8"/>
  <c r="V35" i="10"/>
  <c r="AB35" i="10" s="1"/>
  <c r="AI39" i="8"/>
  <c r="AI42" i="11" l="1"/>
  <c r="AJ42" i="11" s="1"/>
  <c r="AG34" i="10"/>
  <c r="AL34" i="10" s="1"/>
  <c r="AW34" i="10" s="1"/>
  <c r="AC41" i="11"/>
  <c r="AD41" i="11" s="1"/>
  <c r="AA33" i="10"/>
  <c r="AJ33" i="10" s="1"/>
  <c r="AS33" i="10" s="1"/>
  <c r="AY33" i="10" s="1"/>
  <c r="AI16" i="11"/>
  <c r="AJ16" i="11" s="1"/>
  <c r="AG8" i="10"/>
  <c r="AL8" i="10" s="1"/>
  <c r="AW8" i="10" s="1"/>
  <c r="AC44" i="11"/>
  <c r="AD44" i="11" s="1"/>
  <c r="AA36" i="10"/>
  <c r="AJ36" i="10" s="1"/>
  <c r="AS36" i="10" s="1"/>
  <c r="AY36" i="10" s="1"/>
  <c r="AC54" i="11"/>
  <c r="AD54" i="11" s="1"/>
  <c r="AA46" i="10"/>
  <c r="AJ46" i="10" s="1"/>
  <c r="AS46" i="10" s="1"/>
  <c r="AY46" i="10" s="1"/>
  <c r="AZ37" i="10"/>
  <c r="AI71" i="11"/>
  <c r="AJ71" i="11" s="1"/>
  <c r="AG63" i="10"/>
  <c r="AL63" i="10" s="1"/>
  <c r="AW63" i="10" s="1"/>
  <c r="AI51" i="11"/>
  <c r="AJ51" i="11" s="1"/>
  <c r="AG43" i="10"/>
  <c r="AL43" i="10" s="1"/>
  <c r="AW43" i="10" s="1"/>
  <c r="H22" i="6"/>
  <c r="C24" i="6"/>
  <c r="AC60" i="11"/>
  <c r="AD60" i="11" s="1"/>
  <c r="AA52" i="10"/>
  <c r="AJ52" i="10" s="1"/>
  <c r="AS52" i="10" s="1"/>
  <c r="AY52" i="10" s="1"/>
  <c r="AC49" i="11"/>
  <c r="AD49" i="11" s="1"/>
  <c r="AA41" i="10"/>
  <c r="AJ41" i="10" s="1"/>
  <c r="AS41" i="10" s="1"/>
  <c r="AY41" i="10" s="1"/>
  <c r="V34" i="10"/>
  <c r="AB34" i="10" s="1"/>
  <c r="AI38" i="8"/>
  <c r="AC69" i="11"/>
  <c r="AD69" i="11" s="1"/>
  <c r="AA61" i="10"/>
  <c r="AJ61" i="10" s="1"/>
  <c r="AS61" i="10" s="1"/>
  <c r="AY61" i="10" s="1"/>
  <c r="AC75" i="11"/>
  <c r="AD75" i="11" s="1"/>
  <c r="AA67" i="10"/>
  <c r="AJ67" i="10" s="1"/>
  <c r="AS67" i="10" s="1"/>
  <c r="AY67" i="10" s="1"/>
  <c r="AC21" i="11"/>
  <c r="AD21" i="11" s="1"/>
  <c r="AA13" i="10"/>
  <c r="AJ13" i="10" s="1"/>
  <c r="AS13" i="10" s="1"/>
  <c r="AY13" i="10" s="1"/>
  <c r="AC55" i="11"/>
  <c r="AD55" i="11" s="1"/>
  <c r="AA47" i="10"/>
  <c r="AJ47" i="10" s="1"/>
  <c r="AS47" i="10" s="1"/>
  <c r="AY47" i="10" s="1"/>
  <c r="AC37" i="11"/>
  <c r="AD37" i="11" s="1"/>
  <c r="AA29" i="10"/>
  <c r="AJ29" i="10" s="1"/>
  <c r="AS29" i="10" s="1"/>
  <c r="AY29" i="10" s="1"/>
  <c r="AC65" i="11"/>
  <c r="AD65" i="11" s="1"/>
  <c r="AA57" i="10"/>
  <c r="AJ57" i="10" s="1"/>
  <c r="AS57" i="10" s="1"/>
  <c r="AY57" i="10" s="1"/>
  <c r="AC42" i="11"/>
  <c r="AD42" i="11" s="1"/>
  <c r="AA34" i="10"/>
  <c r="AJ34" i="10" s="1"/>
  <c r="AS34" i="10" s="1"/>
  <c r="AY34" i="10" s="1"/>
  <c r="AC38" i="11"/>
  <c r="AD38" i="11" s="1"/>
  <c r="AA30" i="10"/>
  <c r="AJ30" i="10" s="1"/>
  <c r="AS30" i="10" s="1"/>
  <c r="AY30" i="10" s="1"/>
  <c r="AC14" i="11"/>
  <c r="AD14" i="11" s="1"/>
  <c r="AA6" i="10"/>
  <c r="AJ6" i="10" s="1"/>
  <c r="AS6" i="10" s="1"/>
  <c r="AY6" i="10" s="1"/>
  <c r="AZ38" i="10"/>
  <c r="AC29" i="11"/>
  <c r="AD29" i="11" s="1"/>
  <c r="AA21" i="10"/>
  <c r="AJ21" i="10" s="1"/>
  <c r="AS21" i="10" s="1"/>
  <c r="AY21" i="10" s="1"/>
  <c r="V8" i="10"/>
  <c r="AB8" i="10" s="1"/>
  <c r="AI9" i="8"/>
  <c r="AZ25" i="10"/>
  <c r="AC18" i="11"/>
  <c r="AD18" i="11" s="1"/>
  <c r="AA10" i="10"/>
  <c r="AJ10" i="10" s="1"/>
  <c r="AS10" i="10" s="1"/>
  <c r="AY10" i="10" s="1"/>
  <c r="AC61" i="11"/>
  <c r="AD61" i="11" s="1"/>
  <c r="AA53" i="10"/>
  <c r="AJ53" i="10" s="1"/>
  <c r="AS53" i="10" s="1"/>
  <c r="AY53" i="10" s="1"/>
  <c r="AZ46" i="10"/>
  <c r="AC33" i="11"/>
  <c r="AD33" i="11" s="1"/>
  <c r="AA25" i="10"/>
  <c r="AJ25" i="10" s="1"/>
  <c r="AS25" i="10" s="1"/>
  <c r="AY25" i="10" s="1"/>
  <c r="AC34" i="11"/>
  <c r="AD34" i="11" s="1"/>
  <c r="AA26" i="10"/>
  <c r="AJ26" i="10" s="1"/>
  <c r="AS26" i="10" s="1"/>
  <c r="AY26" i="10" s="1"/>
  <c r="AZ44" i="10"/>
  <c r="AC40" i="11"/>
  <c r="AD40" i="11" s="1"/>
  <c r="AA32" i="10"/>
  <c r="AJ32" i="10" s="1"/>
  <c r="AS32" i="10" s="1"/>
  <c r="AY32" i="10" s="1"/>
  <c r="AC48" i="11"/>
  <c r="AD48" i="11" s="1"/>
  <c r="AA40" i="10"/>
  <c r="AJ40" i="10" s="1"/>
  <c r="AS40" i="10" s="1"/>
  <c r="AY40" i="10" s="1"/>
  <c r="AC36" i="11"/>
  <c r="AD36" i="11" s="1"/>
  <c r="AA28" i="10"/>
  <c r="AJ28" i="10" s="1"/>
  <c r="AS28" i="10" s="1"/>
  <c r="AY28" i="10" s="1"/>
  <c r="AC26" i="11"/>
  <c r="AD26" i="11" s="1"/>
  <c r="AA18" i="10"/>
  <c r="AJ18" i="10" s="1"/>
  <c r="AS18" i="10" s="1"/>
  <c r="AY18" i="10" s="1"/>
  <c r="AC17" i="11"/>
  <c r="AD17" i="11" s="1"/>
  <c r="AA9" i="10"/>
  <c r="AJ9" i="10" s="1"/>
  <c r="AS9" i="10" s="1"/>
  <c r="AY9" i="10" s="1"/>
  <c r="AC50" i="11"/>
  <c r="AD50" i="11" s="1"/>
  <c r="AA42" i="10"/>
  <c r="AJ42" i="10" s="1"/>
  <c r="AS42" i="10" s="1"/>
  <c r="AY42" i="10" s="1"/>
  <c r="AI29" i="11"/>
  <c r="AJ29" i="11" s="1"/>
  <c r="AG21" i="10"/>
  <c r="AL21" i="10" s="1"/>
  <c r="AW21" i="10" s="1"/>
  <c r="AC22" i="11"/>
  <c r="AD22" i="11" s="1"/>
  <c r="AA14" i="10"/>
  <c r="AJ14" i="10" s="1"/>
  <c r="AS14" i="10" s="1"/>
  <c r="AY14" i="10" s="1"/>
  <c r="AY19" i="10"/>
  <c r="AC59" i="11"/>
  <c r="AD59" i="11" s="1"/>
  <c r="AA51" i="10"/>
  <c r="AJ51" i="10" s="1"/>
  <c r="AS51" i="10" s="1"/>
  <c r="AY51" i="10" s="1"/>
  <c r="AC52" i="11"/>
  <c r="AD52" i="11" s="1"/>
  <c r="AA44" i="10"/>
  <c r="AJ44" i="10" s="1"/>
  <c r="AS44" i="10" s="1"/>
  <c r="AY44" i="10" s="1"/>
  <c r="AC45" i="11"/>
  <c r="AD45" i="11" s="1"/>
  <c r="AA37" i="10"/>
  <c r="AJ37" i="10" s="1"/>
  <c r="AS37" i="10" s="1"/>
  <c r="AY37" i="10" s="1"/>
  <c r="AC16" i="11"/>
  <c r="AD16" i="11" s="1"/>
  <c r="AA8" i="10"/>
  <c r="AJ8" i="10" s="1"/>
  <c r="AS8" i="10" s="1"/>
  <c r="AY8" i="10" s="1"/>
  <c r="AC31" i="11"/>
  <c r="AD31" i="11" s="1"/>
  <c r="AA23" i="10"/>
  <c r="AJ23" i="10" s="1"/>
  <c r="AS23" i="10" s="1"/>
  <c r="AY23" i="10" s="1"/>
  <c r="AC25" i="11"/>
  <c r="AD25" i="11" s="1"/>
  <c r="AA17" i="10"/>
  <c r="AJ17" i="10" s="1"/>
  <c r="AS17" i="10" s="1"/>
  <c r="AY17" i="10" s="1"/>
  <c r="AC73" i="11"/>
  <c r="AD73" i="11" s="1"/>
  <c r="AA65" i="10"/>
  <c r="AJ65" i="10" s="1"/>
  <c r="AS65" i="10" s="1"/>
  <c r="AY65" i="10" s="1"/>
  <c r="G20" i="6"/>
  <c r="B22" i="6"/>
  <c r="AC56" i="11"/>
  <c r="AD56" i="11" s="1"/>
  <c r="AA48" i="10"/>
  <c r="AJ48" i="10" s="1"/>
  <c r="AS48" i="10" s="1"/>
  <c r="AY48" i="10" s="1"/>
  <c r="AC76" i="11"/>
  <c r="AD76" i="11" s="1"/>
  <c r="AA68" i="10"/>
  <c r="AJ68" i="10" s="1"/>
  <c r="AS68" i="10" s="1"/>
  <c r="AY68" i="10" s="1"/>
  <c r="AI35" i="11"/>
  <c r="AJ35" i="11" s="1"/>
  <c r="AG27" i="10"/>
  <c r="AL27" i="10" s="1"/>
  <c r="AW27" i="10" s="1"/>
  <c r="AC57" i="11"/>
  <c r="AD57" i="11" s="1"/>
  <c r="AA49" i="10"/>
  <c r="AJ49" i="10" s="1"/>
  <c r="AS49" i="10" s="1"/>
  <c r="AY49" i="10" s="1"/>
  <c r="AZ23" i="10"/>
  <c r="AI69" i="11"/>
  <c r="AJ69" i="11" s="1"/>
  <c r="AG61" i="10"/>
  <c r="AL61" i="10" s="1"/>
  <c r="AW61" i="10" s="1"/>
  <c r="AC35" i="11"/>
  <c r="AD35" i="11" s="1"/>
  <c r="AA27" i="10"/>
  <c r="AJ27" i="10" s="1"/>
  <c r="AS27" i="10" s="1"/>
  <c r="AY27" i="10" s="1"/>
  <c r="AI57" i="11"/>
  <c r="AJ57" i="11" s="1"/>
  <c r="AG49" i="10"/>
  <c r="AL49" i="10" s="1"/>
  <c r="AW49" i="10" s="1"/>
  <c r="AC46" i="11"/>
  <c r="AD46" i="11" s="1"/>
  <c r="AA38" i="10"/>
  <c r="AJ38" i="10" s="1"/>
  <c r="AS38" i="10" s="1"/>
  <c r="AY38" i="10" s="1"/>
  <c r="V21" i="10"/>
  <c r="AB21" i="10" s="1"/>
  <c r="AI22" i="8"/>
  <c r="AI66" i="11"/>
  <c r="AJ66" i="11" s="1"/>
  <c r="AG58" i="10"/>
  <c r="AL58" i="10" s="1"/>
  <c r="AW58" i="10" s="1"/>
  <c r="AC51" i="11"/>
  <c r="AD51" i="11" s="1"/>
  <c r="AA43" i="10"/>
  <c r="AJ43" i="10" s="1"/>
  <c r="AS43" i="10" s="1"/>
  <c r="AY43" i="10" s="1"/>
  <c r="G21" i="6" l="1"/>
  <c r="B23" i="6"/>
  <c r="C25" i="6"/>
  <c r="H23" i="6"/>
  <c r="G22" i="6" l="1"/>
  <c r="B24" i="6"/>
  <c r="C26" i="6"/>
  <c r="H24" i="6"/>
  <c r="C27" i="6" l="1"/>
  <c r="H25" i="6"/>
  <c r="G23" i="6"/>
  <c r="B25" i="6"/>
  <c r="G24" i="6" l="1"/>
  <c r="B26" i="6"/>
  <c r="C28" i="6"/>
  <c r="H26" i="6"/>
  <c r="H27" i="6" l="1"/>
  <c r="C29" i="6"/>
  <c r="G25" i="6"/>
  <c r="B27" i="6"/>
  <c r="C30" i="6" l="1"/>
  <c r="H28" i="6"/>
  <c r="G26" i="6"/>
  <c r="B28" i="6"/>
  <c r="G27" i="6" l="1"/>
  <c r="B29" i="6"/>
  <c r="H29" i="6"/>
  <c r="C31" i="6"/>
  <c r="C32" i="6" l="1"/>
  <c r="H30" i="6"/>
  <c r="G28" i="6"/>
  <c r="B30" i="6"/>
  <c r="G29" i="6" l="1"/>
  <c r="B31" i="6"/>
  <c r="C33" i="6"/>
  <c r="H31" i="6"/>
  <c r="C34" i="6" l="1"/>
  <c r="H32" i="6"/>
  <c r="G30" i="6"/>
  <c r="B32" i="6"/>
  <c r="G31" i="6" l="1"/>
  <c r="B33" i="6"/>
  <c r="C35" i="6"/>
  <c r="H33" i="6"/>
  <c r="C36" i="6" l="1"/>
  <c r="H34" i="6"/>
  <c r="G32" i="6"/>
  <c r="B34" i="6"/>
  <c r="G33" i="6" l="1"/>
  <c r="B35" i="6"/>
  <c r="C37" i="6"/>
  <c r="H35" i="6"/>
  <c r="H36" i="6" l="1"/>
  <c r="B41" i="6"/>
  <c r="G34" i="6"/>
  <c r="B36" i="6"/>
  <c r="G35" i="6" l="1"/>
  <c r="B37" i="6"/>
  <c r="G36" i="6" l="1"/>
  <c r="G37" i="6" s="1"/>
  <c r="B38" i="6"/>
  <c r="C3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3" authorId="0" shapeId="0" xr:uid="{00000000-0006-0000-08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tc={86A39DE8-CE9F-4240-A70A-D4C67144007A}</author>
    <author>tc={2A24B530-5200-4BFB-B33D-DE3BF5E4F966}</author>
    <author>tc={AB490B64-A8E1-458F-AADC-5D66F6B606B5}</author>
    <author>tc={C394EF28-5D3E-49FB-BF5F-3E1C22339B98}</author>
    <author>tc={88B548CC-6D7E-472F-84BF-BF244B4088B5}</author>
    <author>tc={46D4814F-1F2F-400D-9659-C43BA183C817}</author>
    <author>tc={F9BFD720-84F7-434B-A0EF-323599D395F9}</author>
    <author>tc={C0345B61-C73C-44B3-99CF-62A51880D8CB}</author>
    <author>tc={5F410DB7-5A16-4E2D-B34A-21ECD7C2199F}</author>
    <author>tc={6BE31CC4-DC03-4F32-9376-8BF960D97CAC}</author>
    <author>tc={82192129-07D4-4185-9BD7-5373B560941B}</author>
    <author>tc={2F18607E-1FDF-4D04-A7FC-32D2A5A93269}</author>
  </authors>
  <commentList>
    <comment ref="R9"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9"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R18" authorId="2" shapeId="0" xr:uid="{00000000-0006-0000-0B00-000003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18" authorId="3" shapeId="0" xr:uid="{00000000-0006-0000-0B00-000004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R33" authorId="4" shapeId="0" xr:uid="{00000000-0006-0000-0B00-000005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33" authorId="5" shapeId="0" xr:uid="{00000000-0006-0000-0B00-000006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R42" authorId="6" shapeId="0" xr:uid="{00000000-0006-0000-0B00-000007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42" authorId="7" shapeId="0" xr:uid="{00000000-0006-0000-0B00-000008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R57" authorId="8" shapeId="0" xr:uid="{00000000-0006-0000-0B00-000009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57" authorId="9" shapeId="0" xr:uid="{00000000-0006-0000-0B00-00000A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R66" authorId="10" shapeId="0" xr:uid="{00000000-0006-0000-0B00-00000B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66" authorId="11" shapeId="0" xr:uid="{00000000-0006-0000-0B00-00000C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List>
</comments>
</file>

<file path=xl/sharedStrings.xml><?xml version="1.0" encoding="utf-8"?>
<sst xmlns="http://schemas.openxmlformats.org/spreadsheetml/2006/main" count="5364" uniqueCount="2686">
  <si>
    <t>brine pH before loading the cups</t>
  </si>
  <si>
    <t>Conductivity meter (Mettler Toledo Seven Compact),</t>
  </si>
  <si>
    <t>The volume of the McLane Parflux mark78 21 cup is 250mL but I need to check when filled to shoulder=</t>
  </si>
  <si>
    <t>sodium chloride, NaCl</t>
  </si>
  <si>
    <t>sodium tetraborate,Na2B4O7.10H2O in addition to sw</t>
  </si>
  <si>
    <t>increased as per later notes</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</si>
  <si>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</si>
  <si>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</si>
  <si>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</si>
  <si>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</si>
  <si>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</si>
  <si>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</si>
  <si>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saturated mercuric chloride volume (mL) required=</t>
  </si>
  <si>
    <t>g</t>
  </si>
  <si>
    <t>Brine volume (L) required for 3 traps for SAZ19=</t>
  </si>
  <si>
    <t>company, PN</t>
  </si>
  <si>
    <t>Sigma Aldrich Lot. No. 03216TR</t>
  </si>
  <si>
    <t>Di's additions:  there is a general preference to fill the cups with brine, remove 10mL by pipette and replace with 10mL of saturated mercuric chloride. This was trialed during SAZ18 prep and worked well.</t>
  </si>
  <si>
    <t>Sample ID</t>
  </si>
  <si>
    <t>NOx (uM)</t>
  </si>
  <si>
    <t>Phosphate (uM)</t>
  </si>
  <si>
    <t>Silicate (uM)</t>
  </si>
  <si>
    <t>Ammonia (uM)</t>
  </si>
  <si>
    <t>Nitrite (uM)</t>
  </si>
  <si>
    <t>DD 4 - Carboy 4</t>
  </si>
  <si>
    <t>decanted into 3 nutrient tubes</t>
  </si>
  <si>
    <t>CWE</t>
  </si>
  <si>
    <t>#3</t>
  </si>
  <si>
    <t>#2</t>
  </si>
  <si>
    <t>#1</t>
  </si>
  <si>
    <t>Filtered seawater salinity and pH before adding brine salts</t>
  </si>
  <si>
    <t>final concentration g/L that we're aiming for</t>
  </si>
  <si>
    <t>Concentration aimed for</t>
  </si>
  <si>
    <t>g wt (NaCl taken into account psu measured already)</t>
  </si>
  <si>
    <t>g/L to be added</t>
  </si>
  <si>
    <t>hence prepare 24L as 2 12L aliquots for easy handling</t>
  </si>
  <si>
    <r>
      <t>sodium chloride, NaCl;</t>
    </r>
    <r>
      <rPr>
        <b/>
        <sz val="12"/>
        <rFont val="Calibri"/>
        <family val="2"/>
        <scheme val="minor"/>
      </rPr>
      <t xml:space="preserve"> Brine concentration needs to be increased to allow for 10mL removal from 250mL and replacement with mercuric chloride</t>
    </r>
    <r>
      <rPr>
        <sz val="12"/>
        <rFont val="Calibri"/>
        <family val="2"/>
        <scheme val="minor"/>
      </rPr>
      <t xml:space="preserve"> (4% dilution), hence aim for 41.6 prior to dilution</t>
    </r>
  </si>
  <si>
    <t>CHECK 1L post 4% dilution</t>
  </si>
  <si>
    <t>concentration per cup, take out 10mL and add 10mL sat HgCl2 to 250mL cup g/L ie 4% salts</t>
  </si>
  <si>
    <t>Merck 1.06404.5000 5kg, Lot. K36021104 618</t>
  </si>
  <si>
    <t>Sigma Aldrich B3545-500G, Batch# 096K00021</t>
  </si>
  <si>
    <t>brine Salinity before loading the cups</t>
  </si>
  <si>
    <t>Conductivity meter (Mettler Toledo Seven Compact), ref temp. 25C</t>
  </si>
  <si>
    <t>47_1000</t>
  </si>
  <si>
    <t>1_start</t>
  </si>
  <si>
    <t>McLane</t>
  </si>
  <si>
    <t>47_2000</t>
  </si>
  <si>
    <t>47_3800</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</si>
  <si>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</si>
  <si>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</si>
  <si>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</si>
  <si>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</si>
  <si>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</si>
  <si>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</si>
  <si>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</si>
  <si>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</si>
  <si>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</si>
  <si>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</si>
  <si>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</si>
  <si>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</si>
  <si>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</si>
  <si>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</si>
  <si>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</si>
  <si>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</si>
  <si>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</si>
  <si>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</si>
  <si>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</si>
  <si>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</si>
  <si>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</si>
  <si>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</si>
  <si>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</si>
  <si>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</si>
  <si>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</si>
  <si>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</si>
  <si>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</si>
  <si>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</si>
  <si>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</si>
  <si>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</si>
  <si>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</si>
  <si>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</si>
  <si>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</si>
  <si>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</si>
  <si>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</si>
  <si>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</si>
  <si>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</si>
  <si>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</si>
  <si>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</si>
  <si>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</si>
  <si>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</si>
  <si>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saz23, 2021</t>
  </si>
  <si>
    <t>2021 McLane sediment trap brine mercuric chloride concentration brine adjustment</t>
  </si>
  <si>
    <t>18.2C</t>
  </si>
  <si>
    <t>18.0C</t>
  </si>
  <si>
    <t>17.7C</t>
  </si>
  <si>
    <t>Hanna pH meter, buffers 7.01, 9.18, 12.45, probe condition 100%, slope 96.5% despite calibrating it 3 times</t>
  </si>
  <si>
    <t>deacnted into scintillation vials</t>
  </si>
  <si>
    <t>14.3C</t>
  </si>
  <si>
    <t>12.2C</t>
  </si>
  <si>
    <t>13.5C</t>
  </si>
  <si>
    <t>IN2021_V02 Sed trap prep brine for SAZ23 NO POISON</t>
  </si>
  <si>
    <t>split into two 12L lowboys after addition of salts to 22L carboy</t>
  </si>
  <si>
    <t>Therefore 22L carboy needs addition of</t>
  </si>
  <si>
    <t>g/22L</t>
  </si>
  <si>
    <t>IN2020-V09 FSW stored 4C.</t>
  </si>
  <si>
    <t>Salts are added to filtered seawater= IN2020_V09 FSW stored 4C.</t>
  </si>
  <si>
    <t>Approximately 22L of deep water from IN2020_V09</t>
  </si>
  <si>
    <t>This carboy is being used for preparing SAZ23 brine</t>
  </si>
  <si>
    <t>Collected IN2020_V09</t>
  </si>
  <si>
    <t>depth</t>
  </si>
  <si>
    <t>trap</t>
  </si>
  <si>
    <t>no tilt</t>
  </si>
  <si>
    <t>deployment</t>
  </si>
  <si>
    <t>event</t>
  </si>
  <si>
    <t>date, UTC</t>
  </si>
  <si>
    <t>interval</t>
  </si>
  <si>
    <t>47S</t>
  </si>
  <si>
    <t>McLane 21 cup</t>
  </si>
  <si>
    <t>McLane/US date format</t>
  </si>
  <si>
    <t>deploy (tentative)</t>
  </si>
  <si>
    <t>cup 1 opens</t>
  </si>
  <si>
    <t>22 (mt)</t>
  </si>
  <si>
    <t>cup 21 closes</t>
  </si>
  <si>
    <t>pickup</t>
  </si>
  <si>
    <t>days spare (need +ve)</t>
  </si>
  <si>
    <t>total</t>
  </si>
  <si>
    <t>pickup-deploy</t>
  </si>
  <si>
    <t>saz23</t>
  </si>
  <si>
    <t>year 2021-22</t>
  </si>
  <si>
    <t>suggested time for funnel to "prime"</t>
  </si>
  <si>
    <t>McLane 250x21 frame# 2241, controller# 11640-01 and Motor # 11640-01 Cup set D</t>
  </si>
  <si>
    <t>McLane 250x21 frame # 10705, controller # 11649-01 and motor # 11649-01 Cup set L</t>
  </si>
  <si>
    <t>Hanna pH meter, buffers 7.01, 9.18, 12.45, probe condition 90%, slope 96%</t>
  </si>
  <si>
    <t>20.3C</t>
  </si>
  <si>
    <t>20.4C</t>
  </si>
  <si>
    <t>from 22L carboy</t>
  </si>
  <si>
    <t>calibrated with 12.8mS/cm</t>
  </si>
  <si>
    <r>
      <t>tilt 2</t>
    </r>
    <r>
      <rPr>
        <sz val="11"/>
        <rFont val="Calibri"/>
        <family val="2"/>
      </rPr>
      <t xml:space="preserve">°, tilt set to </t>
    </r>
    <r>
      <rPr>
        <sz val="11"/>
        <rFont val="Calibri"/>
        <family val="2"/>
        <scheme val="minor"/>
      </rPr>
      <t>1440</t>
    </r>
  </si>
  <si>
    <t>The traps had to be reprogrammed while at sea due to bad weather delays.</t>
  </si>
  <si>
    <t>The 3800m trap kept leaking small drops, first after beeing moved from lab to van, then again while at sea (rough weather!). I suspect while tilting the traps slightly during moving or on the moving vessel, some of the cup contained spilled in between the carousel plates. That's where it was leaking from.</t>
  </si>
  <si>
    <t>SAZ24 cups could be filled to the top and then 3-5ml taken out, to avoid this.</t>
  </si>
  <si>
    <t>Hi Cathryn,</t>
  </si>
  <si>
    <t>Just a check about what the compression of the SAZ cups are between the lab temperature and the deployed temperature and pressure.</t>
  </si>
  <si>
    <t>Some matlab,</t>
  </si>
  <si>
    <t>%addpath(genpath('gsw_matlab_v3_06_12'));</t>
  </si>
  <si>
    <t>psal=[40 40 40 40 40 40 40 40]';</t>
  </si>
  <si>
    <t>p = [0 0 0 1000 1000 2000 3800 3800]';</t>
  </si>
  <si>
    <t>t = [20 40 10 10 5 4 10 2]';</t>
  </si>
  <si>
    <t>SA = gsw_SA_from_SP(psal, p, 142, -47);</t>
  </si>
  <si>
    <t>CT = gsw_CT_from_t(SA, t, p);</t>
  </si>
  <si>
    <r>
      <t xml:space="preserve">rho = gsw_rho(SA,CT,p); </t>
    </r>
    <r>
      <rPr>
        <sz val="10"/>
        <color rgb="FF028009"/>
        <rFont val="Courier New"/>
        <family val="3"/>
      </rPr>
      <t>% kg / m ^3</t>
    </r>
  </si>
  <si>
    <r>
      <t xml:space="preserve">vol = 200 * 1e-6; </t>
    </r>
    <r>
      <rPr>
        <sz val="10"/>
        <color rgb="FF028009"/>
        <rFont val="Courier New"/>
        <family val="3"/>
      </rPr>
      <t>% volumn in m^3</t>
    </r>
  </si>
  <si>
    <r>
      <t xml:space="preserve">mass_rt = rho(1) * vol; </t>
    </r>
    <r>
      <rPr>
        <sz val="10"/>
        <color rgb="FF028009"/>
        <rFont val="Courier New"/>
        <family val="3"/>
      </rPr>
      <t>% kg</t>
    </r>
  </si>
  <si>
    <r>
      <t xml:space="preserve">vol_tp = mass_rt./rho * 1e6; </t>
    </r>
    <r>
      <rPr>
        <sz val="10"/>
        <color rgb="FF028009"/>
        <rFont val="Courier New"/>
        <family val="3"/>
      </rPr>
      <t>% vol in ml</t>
    </r>
  </si>
  <si>
    <t>t = table(t,psal,p,rho, vol_tp)</t>
  </si>
  <si>
    <t>    t     psal     p       rho      vol_tp</t>
  </si>
  <si>
    <t>    __    ____    ____    ______    ______</t>
  </si>
  <si>
    <t>    20     40        0    1028.6       200</t>
  </si>
  <si>
    <t>    40     40        0    1021.7    201.35</t>
  </si>
  <si>
    <t>    10     40        0    1030.9    199.56</t>
  </si>
  <si>
    <t>    10     40     1000    1035.3     198.7</t>
  </si>
  <si>
    <t>     5     40     1000    1036.2    198.53</t>
  </si>
  <si>
    <t>     4     40     2000    1040.8    197.65</t>
  </si>
  <si>
    <t>    10     40     3800    1047.3    196.43</t>
  </si>
  <si>
    <t>     2     40     3800      1049     196.1</t>
  </si>
  <si>
    <t>&gt;&gt; vol_tp-200</t>
  </si>
  <si>
    <t>ans =</t>
  </si>
  <si>
    <t>   -0.0000</t>
  </si>
  <si>
    <t>    1.3527</t>
  </si>
  <si>
    <t>   -0.4423</t>
  </si>
  <si>
    <t>   -1.2995</t>
  </si>
  <si>
    <t>   -1.4687</t>
  </si>
  <si>
    <t>   -2.3509</t>
  </si>
  <si>
    <t>   -3.5726</t>
  </si>
  <si>
    <t>   -3.8982</t>
  </si>
  <si>
    <t>So the cup at 20 C, 0 pressure is 200ml with a density of 1028.6 kg/m^3. At 40C it expands 1.35 ml. At 3800m and 2 C its compressed by 3.9 ml. Under fulling the cups by 3-5 ml would avoid and leakage by expansion of the liquid in the bottles.</t>
  </si>
  <si>
    <t>Cheers,</t>
  </si>
  <si>
    <t>Pete Jansen</t>
  </si>
  <si>
    <t>Email from Pete:</t>
  </si>
  <si>
    <t>SAZ-23 anchor released at 2021-04-24 05:41:23 UTC, anchor 4593.0(m) lat,lon -46.82621 141.65353 deg triangulated</t>
  </si>
  <si>
    <t>CTD model# SBE37SM, serial# 4906</t>
  </si>
  <si>
    <t>RBR-TDR_2050, serial# 16371</t>
  </si>
  <si>
    <t>CTD model# SBE37SM, serial# 4907</t>
  </si>
  <si>
    <t>CT SBE37SM – 8597 on wire @ 4500m</t>
  </si>
  <si>
    <t>Year</t>
  </si>
  <si>
    <t>Position</t>
  </si>
  <si>
    <t>Cup</t>
  </si>
  <si>
    <t>Height</t>
  </si>
  <si>
    <t>sed mass</t>
  </si>
  <si>
    <t>Processing date</t>
  </si>
  <si>
    <t>Processing comments at sieving stage</t>
  </si>
  <si>
    <t>FSW used for processing</t>
  </si>
  <si>
    <t>Cup exist</t>
  </si>
  <si>
    <t>cup</t>
  </si>
  <si>
    <t>10/10</t>
  </si>
  <si>
    <t>Borax used: Sigma-Aldrich B6768-500g, Lot# SLBM6878V P.Code 1002037845</t>
  </si>
  <si>
    <t>mm</t>
  </si>
  <si>
    <t>mg/cup</t>
  </si>
  <si>
    <t>all 21 cups collected (250ml cups)</t>
  </si>
  <si>
    <t>SAZ 23</t>
  </si>
  <si>
    <t>recovery IN2022_V03</t>
  </si>
  <si>
    <t>Pick up 14/05/2022 IN2022_V03</t>
  </si>
  <si>
    <t>Deployment 24/04/2021 IN2021_V02</t>
  </si>
  <si>
    <t>McLane-PARFLUX-Mark78H-21 ; frame# 2241, controller# 11640-01 and Motor # 11640-01 Cup set Dx21</t>
  </si>
  <si>
    <t>D 1</t>
  </si>
  <si>
    <t>McLane-PARFLUX-Mark78H-21 ; frame# 14182, funnel# 874, controller# 11741-01 and Motor # 14182-02 Cup set Ex21</t>
  </si>
  <si>
    <t>E 1</t>
  </si>
  <si>
    <t>McLane-PARFLUX-Mark78H-21 ; frame# 10705, controller# 11649-01 and Motor # 11649-01 Cup set Lx21</t>
  </si>
  <si>
    <t>L 1</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</si>
  <si>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</si>
  <si>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</si>
  <si>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</si>
  <si>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</si>
  <si>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</si>
  <si>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</si>
  <si>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</si>
  <si>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</si>
  <si>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</si>
  <si>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</si>
  <si>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</si>
  <si>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</si>
  <si>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</si>
  <si>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</si>
  <si>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</si>
  <si>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</si>
  <si>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</si>
  <si>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</si>
  <si>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</si>
  <si>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</si>
  <si>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</si>
  <si>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</si>
  <si>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</si>
  <si>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</si>
  <si>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eg FSW batch</t>
  </si>
  <si>
    <t>open</t>
  </si>
  <si>
    <t>= cup_mass/area/time_open</t>
  </si>
  <si>
    <t>powder</t>
  </si>
  <si>
    <t>PC</t>
  </si>
  <si>
    <t>PN</t>
  </si>
  <si>
    <t>netcdf flag</t>
  </si>
  <si>
    <t>UTC</t>
  </si>
  <si>
    <t>normalised</t>
  </si>
  <si>
    <t>BSi</t>
  </si>
  <si>
    <t>BSiO2</t>
  </si>
  <si>
    <t>mass ratio</t>
  </si>
  <si>
    <t>CaCO3+opal + (POM=2.2*POC) + litho 3.7%</t>
  </si>
  <si>
    <t>Mol/mol</t>
  </si>
  <si>
    <t>&lt;1mm</t>
  </si>
  <si>
    <t/>
  </si>
  <si>
    <t>Cup open</t>
  </si>
  <si>
    <t>Cup close</t>
  </si>
  <si>
    <t>midpoint</t>
  </si>
  <si>
    <t>cumulative</t>
  </si>
  <si>
    <t>=height / 0.5m2 / open_time</t>
  </si>
  <si>
    <t>Redfield 2.79 POM opal is BSiO2*1.11</t>
  </si>
  <si>
    <t>m2</t>
  </si>
  <si>
    <t>days</t>
  </si>
  <si>
    <t>mg/m2/day</t>
  </si>
  <si>
    <t>g/m2/yr</t>
  </si>
  <si>
    <t>% w/w</t>
  </si>
  <si>
    <t>psu</t>
  </si>
  <si>
    <t>mm/m2/day</t>
  </si>
  <si>
    <t>w/w</t>
  </si>
  <si>
    <t>%</t>
  </si>
  <si>
    <t>at END event</t>
  </si>
  <si>
    <t>at open event</t>
  </si>
  <si>
    <t>QC threshold 10%</t>
  </si>
  <si>
    <t>COUNT</t>
  </si>
  <si>
    <t>good cups</t>
  </si>
  <si>
    <t>SUM from subtotals</t>
  </si>
  <si>
    <t>SUM Mclane from subs</t>
  </si>
  <si>
    <t>good</t>
  </si>
  <si>
    <t>under funnel</t>
  </si>
  <si>
    <t>COUNT from data (as a check)</t>
  </si>
  <si>
    <t>mass/trap</t>
  </si>
  <si>
    <t>time open</t>
  </si>
  <si>
    <t>mass flux</t>
  </si>
  <si>
    <t>mg</t>
  </si>
  <si>
    <t>% of year</t>
  </si>
  <si>
    <t>1000m</t>
  </si>
  <si>
    <t>2000m</t>
  </si>
  <si>
    <t>3800m</t>
  </si>
  <si>
    <t xml:space="preserve">[2022-05-19 10:35:37.679] </t>
  </si>
  <si>
    <t>[2022-05-19 10:35:37.696]  Enter &lt;CTRL-C&gt; now to wake up?</t>
  </si>
  <si>
    <t xml:space="preserve">[2022-05-19 10:35:38.337] </t>
  </si>
  <si>
    <t>[2022-05-19 10:35:38.384] _______________________________________________________</t>
  </si>
  <si>
    <t xml:space="preserve">[2022-05-19 10:35:38.448] </t>
  </si>
  <si>
    <t xml:space="preserve">[2022-05-19 10:35:38.448]               </t>
  </si>
  <si>
    <t xml:space="preserve">[2022-05-19 10:35:38.510] </t>
  </si>
  <si>
    <t xml:space="preserve">  McLane Research Laboratories, USA              </t>
  </si>
  <si>
    <t xml:space="preserve">[2022-05-19 10:35:38.606]     </t>
  </si>
  <si>
    <t xml:space="preserve">    ParFlux 21-Cup Sediment Trap              </t>
  </si>
  <si>
    <t xml:space="preserve">[2022-05-19 10:35:38.685]        </t>
  </si>
  <si>
    <t xml:space="preserve">        with Compass and Tilt              </t>
  </si>
  <si>
    <t xml:space="preserve">[2022-05-19 10:35:38.797]   </t>
  </si>
  <si>
    <t xml:space="preserve">Version: pst-21c4.c   S/N: ML11640-01            </t>
  </si>
  <si>
    <t xml:space="preserve">[2022-05-19 10:35:38.846] </t>
  </si>
  <si>
    <t xml:space="preserve">[2022-05-19 10:35:38.893]    </t>
  </si>
  <si>
    <t xml:space="preserve"> ÉÍÍÍÍÍÍÍÍÍÍÍÍÍÍÍÍÍÍÍÍÍÍÍÍÍÍÍÍÍÍÍÍÍ»              </t>
  </si>
  <si>
    <t xml:space="preserve">[2022-05-19 10:35:38.990]    </t>
  </si>
  <si>
    <t xml:space="preserve"> º            Main Menu            º              </t>
  </si>
  <si>
    <t xml:space="preserve">[2022-05-19 10:35:39.101]    </t>
  </si>
  <si>
    <t xml:space="preserve"> ÈÍÍÍÍÍÍÍÍÍÍÍÍÍÍÍÍÍÍÍÍÍÍÍÍÍÍÍÍÍÍÍÍÍ¼              </t>
  </si>
  <si>
    <t xml:space="preserve">[2022-05-19 10:35:39.197]    </t>
  </si>
  <si>
    <t xml:space="preserve">      Thu May 19 00:06:41 2022</t>
  </si>
  <si>
    <t xml:space="preserve">[2022-05-19 10:35:39.229] </t>
  </si>
  <si>
    <t xml:space="preserve">[2022-05-19 10:35:39.278]       </t>
  </si>
  <si>
    <t xml:space="preserve">&lt;1&gt; Set Time             &lt;5&gt; Create Schedule          </t>
  </si>
  <si>
    <t xml:space="preserve">[2022-05-19 10:35:39.373]        </t>
  </si>
  <si>
    <t xml:space="preserve">&lt;2&gt; Diagnostics          &lt;6&gt; Deploy System          </t>
  </si>
  <si>
    <t xml:space="preserve">[2022-05-19 10:35:39.469]  </t>
  </si>
  <si>
    <t xml:space="preserve">&lt;3&gt; Fill Containers      &lt;7&gt; Offload Data          </t>
  </si>
  <si>
    <t xml:space="preserve">[2022-05-19 10:35:39.551]   </t>
  </si>
  <si>
    <t>&lt;4&gt; Sleep                &lt;8&gt; Contacting McLane</t>
  </si>
  <si>
    <t xml:space="preserve">[2022-05-19 10:35:39.614] </t>
  </si>
  <si>
    <t xml:space="preserve">[2022-05-19 10:35:39.629]       </t>
  </si>
  <si>
    <t xml:space="preserve">  Selection  ? 7</t>
  </si>
  <si>
    <t xml:space="preserve">[2022-05-19 10:35:42.571] </t>
  </si>
  <si>
    <t xml:space="preserve">[2022-05-19 10:35:42.604]     </t>
  </si>
  <si>
    <t>ÉÍÍÍÍÍÍÍÍÍÍÍÍÍÍÍÍÍÍÍÍÍÍÍÍÍÍÍÍÍÍÍÍÍ»</t>
  </si>
  <si>
    <t xml:space="preserve">[2022-05-19 10:35:42.684]   </t>
  </si>
  <si>
    <t>º    Offload/Display Data File    º</t>
  </si>
  <si>
    <t xml:space="preserve">[2022-05-19 10:35:42.748]   </t>
  </si>
  <si>
    <t>ÈÍÍÍÍÍÍÍÍÍÍÍÍÍÍÍÍÍÍÍÍÍÍÍÍÍÍÍÍÍÍÍÍÍ¼</t>
  </si>
  <si>
    <t xml:space="preserve">[2022-05-19 10:35:42.829]   </t>
  </si>
  <si>
    <t xml:space="preserve">     Thu May 19 00:06:45 2022</t>
  </si>
  <si>
    <t xml:space="preserve">[2022-05-19 10:35:42.878] </t>
  </si>
  <si>
    <t xml:space="preserve">[2022-05-19 10:35:42.894]        </t>
  </si>
  <si>
    <t xml:space="preserve">&lt;1&gt; Display all data        </t>
  </si>
  <si>
    <t xml:space="preserve">[2022-05-19 10:35:42.956]  </t>
  </si>
  <si>
    <t xml:space="preserve">&lt;2&gt; Display event summary        </t>
  </si>
  <si>
    <t xml:space="preserve">[2022-05-19 10:35:43.004]     </t>
  </si>
  <si>
    <t xml:space="preserve">&lt;3&gt; Display tilt data        </t>
  </si>
  <si>
    <t xml:space="preserve">[2022-05-19 10:35:43.068] </t>
  </si>
  <si>
    <t xml:space="preserve">&lt;4&gt; Display backup EEPROM        </t>
  </si>
  <si>
    <t xml:space="preserve">[2022-05-19 10:35:43.116]     </t>
  </si>
  <si>
    <t>&lt;M&gt; Main Menu</t>
  </si>
  <si>
    <t xml:space="preserve">[2022-05-19 10:35:43.131] </t>
  </si>
  <si>
    <t xml:space="preserve">[2022-05-19 10:35:43.148]        </t>
  </si>
  <si>
    <t xml:space="preserve">  Selection  ? 1</t>
  </si>
  <si>
    <t xml:space="preserve">[2022-05-19 10:35:44.667] </t>
  </si>
  <si>
    <t xml:space="preserve">[2022-05-19 10:35:44.698]  To copy the instrument data file to a disk file, initiate          </t>
  </si>
  <si>
    <t xml:space="preserve">[2022-05-19 10:35:44.811]  your communication program's file logging command now and          </t>
  </si>
  <si>
    <t xml:space="preserve">[2022-05-19 10:35:44.938]  then press any key to start the transfer.  The instrument          </t>
  </si>
  <si>
    <t xml:space="preserve">[2022-05-19 10:35:45.050]  data file will remain resident and is not erased by this          </t>
  </si>
  <si>
    <t>[2022-05-19 10:35:45.130]  offload procedure.</t>
  </si>
  <si>
    <t xml:space="preserve">[2022-05-19 10:35:45.162] </t>
  </si>
  <si>
    <t xml:space="preserve">[2022-05-19 10:35:50.951] </t>
  </si>
  <si>
    <t xml:space="preserve">[2022-05-19 10:35:50.981]  Software version:  pst-21c4.c          </t>
  </si>
  <si>
    <t xml:space="preserve">[2022-05-19 10:35:51.063]  Compiled:          Jan 15 2003 18:20:44  </t>
  </si>
  <si>
    <t xml:space="preserve">  </t>
  </si>
  <si>
    <t>[2022-05-19 10:35:51.141]  Electronics S/N:   ML11640-01</t>
  </si>
  <si>
    <t xml:space="preserve">[2022-05-19 10:35:51.173] </t>
  </si>
  <si>
    <t>[2022-05-19 10:35:51.239]  Data recording start time = 04/22/2021 23:05:59</t>
  </si>
  <si>
    <t>[2022-05-19 10:35:51.333]  Data recording stop time  = 04/21/2022 00:00:30</t>
  </si>
  <si>
    <t xml:space="preserve">[2022-05-19 10:35:51.396] </t>
  </si>
  <si>
    <t>[2022-05-19 10:35:51.396]  HEADER</t>
  </si>
  <si>
    <t>[2022-05-19 10:35:51.413]  ______</t>
  </si>
  <si>
    <t xml:space="preserve">[2022-05-19 10:35:51.435] </t>
  </si>
  <si>
    <t>[2022-05-19 10:35:51.447]  SAZ23_2021_1000m_11640_01_Tilt</t>
  </si>
  <si>
    <t xml:space="preserve">[2022-05-19 10:35:51.498] </t>
  </si>
  <si>
    <t>[2022-05-19 10:35:51.498]  SCHEDULE</t>
  </si>
  <si>
    <t>[2022-05-19 10:35:51.513]  ________</t>
  </si>
  <si>
    <t xml:space="preserve">[2022-05-19 10:35:51.527] </t>
  </si>
  <si>
    <t>[2022-05-19 10:35:51.572]  Event 01 of 22 @ 04/29/2021 00:00:00</t>
  </si>
  <si>
    <t>[2022-05-19 10:35:51.669]  Event 02 of 22 @ 05/16/2021 00:00:00</t>
  </si>
  <si>
    <t>[2022-05-19 10:35:51.765]  Event 03 of 22 @ 06/02/2021 00:00:00</t>
  </si>
  <si>
    <t>[2022-05-19 10:35:51.847]  Event 04 of 22 @ 06/19/2021 00:00:00</t>
  </si>
  <si>
    <t>[2022-05-19 10:35:51.941]  Event 05 of 22 @ 07/06/2021 00:00:00</t>
  </si>
  <si>
    <t>[2022-05-19 10:35:52.037]  Event 06 of 22 @ 07/23/2021 00:00:00</t>
  </si>
  <si>
    <t>[2022-05-19 10:35:52.133]  Event 07 of 22 @ 08/09/2021 00:00:00</t>
  </si>
  <si>
    <t>[2022-05-19 10:35:52.213]  Event 08 of 22 @ 08/26/2021 00:00:00</t>
  </si>
  <si>
    <t>[2022-05-19 10:35:52.309]  Event 09 of 22 @ 09/12/2021 00:00:00</t>
  </si>
  <si>
    <t>[2022-05-19 10:35:52.404]  Event 10 of 22 @ 09/29/2021 00:00:00</t>
  </si>
  <si>
    <t>[2022-05-19 10:35:52.500]  Event 11 of 22 @ 10/16/2021 00:00:00</t>
  </si>
  <si>
    <t>[2022-05-19 10:35:52.580]  Event 12 of 22 @ 11/02/2021 00:00:00</t>
  </si>
  <si>
    <t>[2022-05-19 10:35:52.676]  Event 13 of 22 @ 11/19/2021 00:00:00</t>
  </si>
  <si>
    <t>[2022-05-19 10:35:52.772]  Event 14 of 22 @ 12/06/2021 00:00:00</t>
  </si>
  <si>
    <t>[2022-05-19 10:35:52.868]  Event 15 of 22 @ 12/23/2021 00:00:00</t>
  </si>
  <si>
    <t>[2022-05-19 10:35:52.948]  Event 16 of 22 @ 01/09/2022 00:00:00</t>
  </si>
  <si>
    <t>[2022-05-19 10:35:53.044]  Event 17 of 22 @ 01/26/2022 00:00:00</t>
  </si>
  <si>
    <t>[2022-05-19 10:35:53.139]  Event 18 of 22 @ 02/12/2022 00:00:00</t>
  </si>
  <si>
    <t>[2022-05-19 10:35:53.219]  Event 19 of 22 @ 03/01/2022 00:00:00</t>
  </si>
  <si>
    <t>[2022-05-19 10:35:53.314]  Event 20 of 22 @ 03/18/2022 00:00:00</t>
  </si>
  <si>
    <t>[2022-05-19 10:35:53.411]  Event 21 of 22 @ 04/04/2022 00:00:00</t>
  </si>
  <si>
    <t>[2022-05-19 10:35:53.491]  Event 22 of 22 @ 04/21/2022 00:00:00</t>
  </si>
  <si>
    <t xml:space="preserve">[2022-05-19 10:35:53.539] </t>
  </si>
  <si>
    <t>[2022-05-19 10:35:53.555]  DEPLOYMENT DATA</t>
  </si>
  <si>
    <t>[2022-05-19 10:35:53.572]  _______________</t>
  </si>
  <si>
    <t xml:space="preserve">[2022-05-19 10:35:53.603] </t>
  </si>
  <si>
    <t>[2022-05-19 10:35:53.619]  Event 01</t>
  </si>
  <si>
    <t xml:space="preserve">[2022-05-19 10:35:53.619] </t>
  </si>
  <si>
    <t>[2022-05-19 10:35:53.666]  Scheduled start time:  04/29/2021 00:00:00</t>
  </si>
  <si>
    <t>[2022-05-19 10:35:53.762]  Event start time:      04/29/2021 00:00:00</t>
  </si>
  <si>
    <t>[2022-05-19 10:35:53.860]  Event stop time:       04/29/2021 00:00:27</t>
  </si>
  <si>
    <t xml:space="preserve">[2022-05-19 10:35:53.909] </t>
  </si>
  <si>
    <t>[2022-05-19 10:35:53.939]          Aligned  Battery  Temperature  Tilt  Heading</t>
  </si>
  <si>
    <t>[2022-05-19 10:35:54.067]  Start:     Y       19.6        4øC       3ø    226ø</t>
  </si>
  <si>
    <t>[2022-05-19 10:35:54.196]  Stop:      Y       19.3        4øC       3ø    229ø</t>
  </si>
  <si>
    <t xml:space="preserve">[2022-05-19 10:35:54.262] </t>
  </si>
  <si>
    <t>[2022-05-19 10:35:54.277]  Event 02</t>
  </si>
  <si>
    <t xml:space="preserve">[2022-05-19 10:35:54.294] </t>
  </si>
  <si>
    <t>[2022-05-19 10:35:54.341]  Scheduled start time:  05/16/2021 00:00:00</t>
  </si>
  <si>
    <t>[2022-05-19 10:35:54.419]  Event start time:      05/16/2021 00:00:00</t>
  </si>
  <si>
    <t>[2022-05-19 10:35:54.515]  Event stop time:       05/16/2021 00:00:27</t>
  </si>
  <si>
    <t xml:space="preserve">[2022-05-19 10:35:54.582] </t>
  </si>
  <si>
    <t>[2022-05-19 10:35:54.612]          Aligned  Battery  Temperature  Tilt  Heading</t>
  </si>
  <si>
    <t>[2022-05-19 10:35:54.741]  Start:     Y       19.2        4øC       3ø    203ø</t>
  </si>
  <si>
    <t>[2022-05-19 10:35:54.869]  Stop:      Y       18.8        5øC       2ø    203ø</t>
  </si>
  <si>
    <t xml:space="preserve">[2022-05-19 10:35:54.917] </t>
  </si>
  <si>
    <t>[2022-05-19 10:35:54.932]  Event 03</t>
  </si>
  <si>
    <t xml:space="preserve">[2022-05-19 10:35:54.951] </t>
  </si>
  <si>
    <t>[2022-05-19 10:35:54.997]  Scheduled start time:  06/02/2021 00:00:00</t>
  </si>
  <si>
    <t>[2022-05-19 10:35:55.089]  Event start time:      06/02/2021 00:00:00</t>
  </si>
  <si>
    <t>[2022-05-19 10:35:55.185]  Event stop time:       06/02/2021 00:00:27</t>
  </si>
  <si>
    <t xml:space="preserve">[2022-05-19 10:35:55.233] </t>
  </si>
  <si>
    <t>[2022-05-19 10:35:55.265]          Aligned  Battery  Temperature  Tilt  Heading</t>
  </si>
  <si>
    <t>[2022-05-19 10:35:55.396]  Start:     Y       18.8        4øC       2ø    215ø</t>
  </si>
  <si>
    <t>[2022-05-19 10:35:55.523]  Stop:      Y       18.4        4øC       3ø    212ø</t>
  </si>
  <si>
    <t xml:space="preserve">[2022-05-19 10:35:55.588] </t>
  </si>
  <si>
    <t>[2022-05-19 10:35:55.588]  Event 04</t>
  </si>
  <si>
    <t xml:space="preserve">[2022-05-19 10:35:55.603] </t>
  </si>
  <si>
    <t>[2022-05-19 10:35:55.649]  Scheduled start time:  06/19/2021 00:00:00</t>
  </si>
  <si>
    <t>[2022-05-19 10:35:55.746]  Event start time:      06/19/2021 00:00:00</t>
  </si>
  <si>
    <t>[2022-05-19 10:35:55.840]  Event stop time:       06/19/2021 00:00:27</t>
  </si>
  <si>
    <t xml:space="preserve">[2022-05-19 10:35:55.890] </t>
  </si>
  <si>
    <t>[2022-05-19 10:35:55.922]          Aligned  Battery  Temperature  Tilt  Heading</t>
  </si>
  <si>
    <t>[2022-05-19 10:35:56.049]  Start:     Y       18.5        4øC       3ø    169ø</t>
  </si>
  <si>
    <t>[2022-05-19 10:35:56.179]  Stop:      Y       18.1        4øC       3ø    166ø</t>
  </si>
  <si>
    <t xml:space="preserve">[2022-05-19 10:35:56.244] </t>
  </si>
  <si>
    <t>[2022-05-19 10:35:56.260]  Event 05</t>
  </si>
  <si>
    <t xml:space="preserve">[2022-05-19 10:35:56.260] </t>
  </si>
  <si>
    <t>[2022-05-19 10:35:56.306]  Scheduled start time:  07/06/2021 00:00:00</t>
  </si>
  <si>
    <t>[2022-05-19 10:35:56.402]  Event start time:      07/06/2021 00:00:00</t>
  </si>
  <si>
    <t>[2022-05-19 10:35:56.497]  Event stop time:       07/06/2021 00:00:27</t>
  </si>
  <si>
    <t xml:space="preserve">[2022-05-19 10:35:56.550] </t>
  </si>
  <si>
    <t>[2022-05-19 10:35:56.578]          Aligned  Battery  Temperature  Tilt  Heading</t>
  </si>
  <si>
    <t>[2022-05-19 10:35:56.705]  Start:     Y       18.3        4øC       2ø    153ø</t>
  </si>
  <si>
    <t>[2022-05-19 10:35:56.831]  Stop:      Y       17.9        4øC       3ø    154ø</t>
  </si>
  <si>
    <t xml:space="preserve">[2022-05-19 10:35:56.896] </t>
  </si>
  <si>
    <t>[2022-05-19 10:35:56.913]  Event 06</t>
  </si>
  <si>
    <t xml:space="preserve">[2022-05-19 10:35:56.928] </t>
  </si>
  <si>
    <t>[2022-05-19 10:35:56.975]  Scheduled start time:  07/23/2021 00:00:00</t>
  </si>
  <si>
    <t>[2022-05-19 10:35:57.071]  Event start time:      07/23/2021 00:00:00</t>
  </si>
  <si>
    <t>[2022-05-19 10:35:57.167]  Event stop time:       07/23/2021 00:00:27</t>
  </si>
  <si>
    <t xml:space="preserve">[2022-05-19 10:35:57.215] </t>
  </si>
  <si>
    <t>[2022-05-19 10:35:57.247]          Aligned  Battery  Temperature  Tilt  Heading</t>
  </si>
  <si>
    <t>[2022-05-19 10:35:57.375]  Start:     Y       18.1        4øC       3ø    248ø</t>
  </si>
  <si>
    <t>[2022-05-19 10:35:57.503]  Stop:      Y       17.7        4øC       3ø    246ø</t>
  </si>
  <si>
    <t xml:space="preserve">[2022-05-19 10:35:57.567] </t>
  </si>
  <si>
    <t>[2022-05-19 10:35:57.567]  Event 07</t>
  </si>
  <si>
    <t xml:space="preserve">[2022-05-19 10:35:57.583] </t>
  </si>
  <si>
    <t>[2022-05-19 10:35:57.631]  Scheduled start time:  08/09/2021 00:00:00</t>
  </si>
  <si>
    <t>[2022-05-19 10:35:57.727]  Event start time:      08/09/2021 00:00:00</t>
  </si>
  <si>
    <t>[2022-05-19 10:35:57.823]  Event stop time:       08/09/2021 00:00:27</t>
  </si>
  <si>
    <t xml:space="preserve">[2022-05-19 10:35:57.870] </t>
  </si>
  <si>
    <t>[2022-05-19 10:35:57.902]          Aligned  Battery  Temperature  Tilt  Heading</t>
  </si>
  <si>
    <t>[2022-05-19 10:35:58.030]  Start:     Y       17.6        4øC       3ø    226ø</t>
  </si>
  <si>
    <t>[2022-05-19 10:35:58.159]  Stop:      Y       17.1        4øC       2ø    220ø</t>
  </si>
  <si>
    <t xml:space="preserve">[2022-05-19 10:35:58.222] </t>
  </si>
  <si>
    <t>[2022-05-19 10:35:58.222]  Event 08</t>
  </si>
  <si>
    <t xml:space="preserve">[2022-05-19 10:35:58.238] </t>
  </si>
  <si>
    <t>[2022-05-19 10:35:58.286]  Scheduled start time:  08/26/2021 00:00:00</t>
  </si>
  <si>
    <t>[2022-05-19 10:35:58.384]  Event start time:      08/26/2021 00:00:00</t>
  </si>
  <si>
    <t>[2022-05-19 10:35:58.481]  Event stop time:       08/26/2021 00:00:27</t>
  </si>
  <si>
    <t xml:space="preserve">[2022-05-19 10:35:58.534] </t>
  </si>
  <si>
    <t>[2022-05-19 10:35:58.560]          Aligned  Battery  Temperature  Tilt  Heading</t>
  </si>
  <si>
    <t>[2022-05-19 10:35:58.690]  Start:     Y       17.0        4øC       2ø    241ø</t>
  </si>
  <si>
    <t>[2022-05-19 10:35:58.816]  Stop:      Y       16.4        4øC       2ø    238ø</t>
  </si>
  <si>
    <t xml:space="preserve">[2022-05-19 10:35:58.883] </t>
  </si>
  <si>
    <t>[2022-05-19 10:35:58.898]  Event 09</t>
  </si>
  <si>
    <t xml:space="preserve">[2022-05-19 10:35:58.915] </t>
  </si>
  <si>
    <t>[2022-05-19 10:35:58.960]  Scheduled start time:  09/12/2021 00:00:00</t>
  </si>
  <si>
    <t>[2022-05-19 10:35:59.056]  Event start time:      09/12/2021 00:00:00</t>
  </si>
  <si>
    <t>[2022-05-19 10:35:59.152]  Event stop time:       09/12/2021 00:00:27</t>
  </si>
  <si>
    <t xml:space="preserve">[2022-05-19 10:35:59.199] </t>
  </si>
  <si>
    <t>[2022-05-19 10:35:59.230]          Aligned  Battery  Temperature  Tilt  Heading</t>
  </si>
  <si>
    <t>[2022-05-19 10:35:59.361]  Start:     Y       16.6        4øC       3ø    113ø</t>
  </si>
  <si>
    <t>[2022-05-19 10:35:59.487]  Stop:      Y       15.9        4øC       3ø    114ø</t>
  </si>
  <si>
    <t xml:space="preserve">[2022-05-19 10:35:59.553] </t>
  </si>
  <si>
    <t>[2022-05-19 10:35:59.553]  Event 10</t>
  </si>
  <si>
    <t xml:space="preserve">[2022-05-19 10:35:59.569] </t>
  </si>
  <si>
    <t>[2022-05-19 10:35:59.614]  Scheduled start time:  09/29/2021 00:00:00</t>
  </si>
  <si>
    <t>[2022-05-19 10:35:59.710]  Event start time:      09/29/2021 00:00:00</t>
  </si>
  <si>
    <t>[2022-05-19 10:35:59.805]  Event stop time:       09/29/2021 00:00:27</t>
  </si>
  <si>
    <t xml:space="preserve">[2022-05-19 10:35:59.854] </t>
  </si>
  <si>
    <t>[2022-05-19 10:35:59.885]          Aligned  Battery  Temperature  Tilt  Heading</t>
  </si>
  <si>
    <t>[2022-05-19 10:36:00.013]  Start:     Y       16.5        4øC       2ø     52ø</t>
  </si>
  <si>
    <t>[2022-05-19 10:36:00.141]  Stop:      Y       15.8        5øC       2ø     51ø</t>
  </si>
  <si>
    <t xml:space="preserve">[2022-05-19 10:36:00.206] </t>
  </si>
  <si>
    <t>[2022-05-19 10:36:00.222]  Event 11</t>
  </si>
  <si>
    <t xml:space="preserve">[2022-05-19 10:36:00.222] </t>
  </si>
  <si>
    <t>[2022-05-19 10:36:00.269]  Scheduled start time:  10/16/2021 00:00:00</t>
  </si>
  <si>
    <t>[2022-05-19 10:36:00.365]  Event start time:      10/16/2021 00:00:00</t>
  </si>
  <si>
    <t>[2022-05-19 10:36:00.460]  Event stop time:       10/16/2021 00:00:27</t>
  </si>
  <si>
    <t xml:space="preserve">[2022-05-19 10:36:00.525] </t>
  </si>
  <si>
    <t>[2022-05-19 10:36:00.557]          Aligned  Battery  Temperature  Tilt  Heading</t>
  </si>
  <si>
    <t>[2022-05-19 10:36:00.685]  Start:     Y       16.4        4øC       3ø    175ø</t>
  </si>
  <si>
    <t>[2022-05-19 10:36:00.813]  Stop:      Y       15.9        5øC       3ø    169ø</t>
  </si>
  <si>
    <t xml:space="preserve">[2022-05-19 10:36:00.861] </t>
  </si>
  <si>
    <t>[2022-05-19 10:36:00.877]  Event 12</t>
  </si>
  <si>
    <t xml:space="preserve">[2022-05-19 10:36:00.894] </t>
  </si>
  <si>
    <t>[2022-05-19 10:36:00.941]  Scheduled start time:  11/02/2021 00:00:00</t>
  </si>
  <si>
    <t>[2022-05-19 10:36:01.037]  Event start time:      11/02/2021 00:00:00</t>
  </si>
  <si>
    <t>[2022-05-19 10:36:01.132]  Event stop time:       11/02/2021 00:00:27</t>
  </si>
  <si>
    <t xml:space="preserve">[2022-05-19 10:36:01.181] </t>
  </si>
  <si>
    <t>[2022-05-19 10:36:01.213]          Aligned  Battery  Temperature  Tilt  Heading</t>
  </si>
  <si>
    <t>[2022-05-19 10:36:01.341]  Start:     Y       16.3        5øC       3ø    222ø</t>
  </si>
  <si>
    <t>[2022-05-19 10:36:01.470]  Stop:      Y       15.8        5øC       3ø    226ø</t>
  </si>
  <si>
    <t xml:space="preserve">[2022-05-19 10:36:01.535] </t>
  </si>
  <si>
    <t>[2022-05-19 10:36:01.535]  Event 13</t>
  </si>
  <si>
    <t xml:space="preserve">[2022-05-19 10:36:01.551] </t>
  </si>
  <si>
    <t>[2022-05-19 10:36:01.598]  Scheduled start time:  11/19/2021 00:00:00</t>
  </si>
  <si>
    <t>[2022-05-19 10:36:01.694]  Event start time:      11/19/2021 00:00:00</t>
  </si>
  <si>
    <t>[2022-05-19 10:36:01.790]  Event stop time:       11/19/2021 00:00:27</t>
  </si>
  <si>
    <t xml:space="preserve">[2022-05-19 10:36:01.839] </t>
  </si>
  <si>
    <t>[2022-05-19 10:36:01.869]          Aligned  Battery  Temperature  Tilt  Heading</t>
  </si>
  <si>
    <t>[2022-05-19 10:36:02.013]  Start:     Y       16.2        5øC       3ø     12ø</t>
  </si>
  <si>
    <t>[2022-05-19 10:36:02.124]  Stop:      Y       15.8        5øC       3ø      7ø</t>
  </si>
  <si>
    <t xml:space="preserve">[2022-05-19 10:36:02.190] </t>
  </si>
  <si>
    <t>[2022-05-19 10:36:02.204]  Event 14</t>
  </si>
  <si>
    <t xml:space="preserve">[2022-05-19 10:36:02.222] </t>
  </si>
  <si>
    <t>[2022-05-19 10:36:02.269]  Scheduled start time:  12/06/2021 00:00:00</t>
  </si>
  <si>
    <t>[2022-05-19 10:36:02.365]  Event start time:      12/06/2021 00:00:00</t>
  </si>
  <si>
    <t>[2022-05-19 10:36:02.461]  Event stop time:       12/06/2021 00:00:27</t>
  </si>
  <si>
    <t xml:space="preserve">[2022-05-19 10:36:02.511] </t>
  </si>
  <si>
    <t>[2022-05-19 10:36:02.541]          Aligned  Battery  Temperature  Tilt  Heading</t>
  </si>
  <si>
    <t>[2022-05-19 10:36:02.670]  Start:     Y       16.1        4øC       2ø    281ø</t>
  </si>
  <si>
    <t>[2022-05-19 10:36:02.798]  Stop:      Y       15.6        4øC       2ø    272ø</t>
  </si>
  <si>
    <t xml:space="preserve">[2022-05-19 10:36:02.867] </t>
  </si>
  <si>
    <t>[2022-05-19 10:36:02.867]  Event 15</t>
  </si>
  <si>
    <t xml:space="preserve">[2022-05-19 10:36:02.879] </t>
  </si>
  <si>
    <t>[2022-05-19 10:36:02.927]  Scheduled start time:  12/23/2021 00:00:00</t>
  </si>
  <si>
    <t>[2022-05-19 10:36:03.020]  Event start time:      12/23/2021 00:00:00</t>
  </si>
  <si>
    <t>[2022-05-19 10:36:03.116]  Event stop time:       12/23/2021 00:00:27</t>
  </si>
  <si>
    <t xml:space="preserve">[2022-05-19 10:36:03.168] </t>
  </si>
  <si>
    <t>[2022-05-19 10:36:03.197]          Aligned  Battery  Temperature  Tilt  Heading</t>
  </si>
  <si>
    <t>[2022-05-19 10:36:03.322]  Start:     Y       15.8        4øC       2ø    260ø</t>
  </si>
  <si>
    <t>[2022-05-19 10:36:03.452]  Stop:      Y       15.4        4øC       2ø    252ø</t>
  </si>
  <si>
    <t xml:space="preserve">[2022-05-19 10:36:03.521] </t>
  </si>
  <si>
    <t>[2022-05-19 10:36:03.533]  Event 16</t>
  </si>
  <si>
    <t xml:space="preserve">[2022-05-19 10:36:03.551] </t>
  </si>
  <si>
    <t>[2022-05-19 10:36:03.597]  Scheduled start time:  01/09/2022 00:00:00</t>
  </si>
  <si>
    <t>[2022-05-19 10:36:03.675]  Event start time:      01/09/2022 00:00:00</t>
  </si>
  <si>
    <t>[2022-05-19 10:36:03.771]  Event stop time:       01/09/2022 00:00:27</t>
  </si>
  <si>
    <t xml:space="preserve">[2022-05-19 10:36:03.822] </t>
  </si>
  <si>
    <t>[2022-05-19 10:36:03.852]          Aligned  Battery  Temperature  Tilt  Heading</t>
  </si>
  <si>
    <t>[2022-05-19 10:36:03.981]  Start:     Y       15.6        4øC       2ø    261ø</t>
  </si>
  <si>
    <t>[2022-05-19 10:36:04.108]  Stop:      Y       15.2        4øC       2ø    259ø</t>
  </si>
  <si>
    <t xml:space="preserve">[2022-05-19 10:36:04.172] </t>
  </si>
  <si>
    <t>[2022-05-19 10:36:04.188]  Event 17</t>
  </si>
  <si>
    <t xml:space="preserve">[2022-05-19 10:36:04.205] </t>
  </si>
  <si>
    <t>[2022-05-19 10:36:04.235]  Scheduled start time:  01/26/2022 00:00:00</t>
  </si>
  <si>
    <t>[2022-05-19 10:36:04.333]  Event start time:      01/26/2022 00:00:00</t>
  </si>
  <si>
    <t>[2022-05-19 10:36:04.427]  Event stop time:       01/26/2022 00:00:27</t>
  </si>
  <si>
    <t xml:space="preserve">[2022-05-19 10:36:04.477] </t>
  </si>
  <si>
    <t>[2022-05-19 10:36:04.507]          Aligned  Battery  Temperature  Tilt  Heading</t>
  </si>
  <si>
    <t>[2022-05-19 10:36:04.635]  Start:     Y       15.3        4øC       3ø    208ø</t>
  </si>
  <si>
    <t>[2022-05-19 10:36:04.763]  Stop:      Y       14.9        4øC       2ø    207ø</t>
  </si>
  <si>
    <t xml:space="preserve">[2022-05-19 10:36:04.831] </t>
  </si>
  <si>
    <t>[2022-05-19 10:36:04.843]  Event 18</t>
  </si>
  <si>
    <t xml:space="preserve">[2022-05-19 10:36:04.860] </t>
  </si>
  <si>
    <t>[2022-05-19 10:36:04.891]  Scheduled start time:  02/12/2022 00:00:00</t>
  </si>
  <si>
    <t>[2022-05-19 10:36:04.986]  Event start time:      02/12/2022 00:00:00</t>
  </si>
  <si>
    <t>[2022-05-19 10:36:05.083]  Event stop time:       02/12/2022 00:00:27</t>
  </si>
  <si>
    <t xml:space="preserve">[2022-05-19 10:36:05.135] </t>
  </si>
  <si>
    <t>[2022-05-19 10:36:05.165]          Aligned  Battery  Temperature  Tilt  Heading</t>
  </si>
  <si>
    <t>[2022-05-19 10:36:05.305]  Start:     Y       15.1        4øC       2ø    202ø</t>
  </si>
  <si>
    <t>[2022-05-19 10:36:05.417]  Stop:      Y       14.7        4øC       2ø    188ø</t>
  </si>
  <si>
    <t xml:space="preserve">[2022-05-19 10:36:05.480] </t>
  </si>
  <si>
    <t>[2022-05-19 10:36:05.498]  Event 19</t>
  </si>
  <si>
    <t xml:space="preserve">[2022-05-19 10:36:05.516] </t>
  </si>
  <si>
    <t>[2022-05-19 10:36:05.563]  Scheduled start time:  03/01/2022 00:00:00</t>
  </si>
  <si>
    <t>[2022-05-19 10:36:05.642]  Event start time:      03/01/2022 00:00:00</t>
  </si>
  <si>
    <t>[2022-05-19 10:36:05.738]  Event stop time:       03/01/2022 00:00:27</t>
  </si>
  <si>
    <t xml:space="preserve">[2022-05-19 10:36:05.787] </t>
  </si>
  <si>
    <t>[2022-05-19 10:36:05.834]          Aligned  Battery  Temperature  Tilt  Heading</t>
  </si>
  <si>
    <t>[2022-05-19 10:36:05.960]  Start:     Y       14.8        4øC       3ø    178ø</t>
  </si>
  <si>
    <t>[2022-05-19 10:36:06.088]  Stop:      Y       14.3        4øC       3ø    174ø</t>
  </si>
  <si>
    <t xml:space="preserve">[2022-05-19 10:36:06.136] </t>
  </si>
  <si>
    <t>[2022-05-19 10:36:06.152]  Event 20</t>
  </si>
  <si>
    <t xml:space="preserve">[2022-05-19 10:36:06.169] </t>
  </si>
  <si>
    <t>[2022-05-19 10:36:06.218]  Scheduled start time:  03/18/2022 00:00:00</t>
  </si>
  <si>
    <t>[2022-05-19 10:36:06.298]  Event start time:      03/18/2022 00:00:00</t>
  </si>
  <si>
    <t>[2022-05-19 10:36:06.394]  Event stop time:       03/18/2022 00:00:27</t>
  </si>
  <si>
    <t xml:space="preserve">[2022-05-19 10:36:06.460] </t>
  </si>
  <si>
    <t>[2022-05-19 10:36:06.489]          Aligned  Battery  Temperature  Tilt  Heading</t>
  </si>
  <si>
    <t>[2022-05-19 10:36:06.618]  Start:     Y       14.6        4øC       2ø    208ø</t>
  </si>
  <si>
    <t>[2022-05-19 10:36:06.747]  Stop:      Y       14.1        5øC       2ø    203ø</t>
  </si>
  <si>
    <t xml:space="preserve">[2022-05-19 10:36:06.792] </t>
  </si>
  <si>
    <t>[2022-05-19 10:36:06.808]  Event 21</t>
  </si>
  <si>
    <t xml:space="preserve">[2022-05-19 10:36:06.825] </t>
  </si>
  <si>
    <t>[2022-05-19 10:36:06.873]  Scheduled start time:  04/04/2022 00:00:00</t>
  </si>
  <si>
    <t>[2022-05-19 10:36:06.969]  Event start time:      04/04/2022 00:00:00</t>
  </si>
  <si>
    <t>[2022-05-19 10:36:07.048]  Event stop time:       04/04/2022 00:00:27</t>
  </si>
  <si>
    <t xml:space="preserve">[2022-05-19 10:36:07.112] </t>
  </si>
  <si>
    <t>[2022-05-19 10:36:07.144]          Aligned  Battery  Temperature  Tilt  Heading</t>
  </si>
  <si>
    <t>[2022-05-19 10:36:07.275]  Start:     Y       14.2        4øC       3ø    263ø</t>
  </si>
  <si>
    <t>[2022-05-19 10:36:07.401]  Stop:      Y       13.7        4øC       2ø    258ø</t>
  </si>
  <si>
    <t xml:space="preserve">[2022-05-19 10:36:07.452] </t>
  </si>
  <si>
    <t>[2022-05-19 10:36:07.467]  Event 22</t>
  </si>
  <si>
    <t xml:space="preserve">[2022-05-19 10:36:07.485] </t>
  </si>
  <si>
    <t>[2022-05-19 10:36:07.530]  Scheduled start time:  04/21/2022 00:00:00</t>
  </si>
  <si>
    <t>[2022-05-19 10:36:07.626]  Event start time:      04/21/2022 00:00:00</t>
  </si>
  <si>
    <t>[2022-05-19 10:36:07.721]  Event stop time:       04/21/2022 00:00:27</t>
  </si>
  <si>
    <t xml:space="preserve">[2022-05-19 10:36:07.772] </t>
  </si>
  <si>
    <t>[2022-05-19 10:36:07.801]          Aligned  Battery  Temperature  Tilt  Heading</t>
  </si>
  <si>
    <t>[2022-05-19 10:36:07.928]  Start:     Y       14.0        4øC       3ø      5ø</t>
  </si>
  <si>
    <t>[2022-05-19 10:36:08.055]  Stop:      Y       13.4        5øC       2ø      3ø</t>
  </si>
  <si>
    <t xml:space="preserve">[2022-05-19 10:36:08.104] </t>
  </si>
  <si>
    <t>[2022-05-19 10:36:08.119]  TILT DATA</t>
  </si>
  <si>
    <t>[2022-05-19 10:36:08.136]  _________</t>
  </si>
  <si>
    <t xml:space="preserve">[2022-05-19 10:36:08.152]   </t>
  </si>
  <si>
    <t xml:space="preserve">[2022-05-19 10:36:08.199]  Tilt sample interval:  1440 minutes            </t>
  </si>
  <si>
    <t xml:space="preserve">[2022-05-19 10:36:08.250] </t>
  </si>
  <si>
    <t>[2022-05-19 10:36:08.263]  Event  Tilt  Heading</t>
  </si>
  <si>
    <t xml:space="preserve">[2022-05-19 10:36:08.296] </t>
  </si>
  <si>
    <t>[2022-05-19 10:36:08.311]    01    2øT   258øH</t>
  </si>
  <si>
    <t>[2022-05-19 10:36:08.359]    01    2øT   188øH</t>
  </si>
  <si>
    <t>[2022-05-19 10:36:08.407]    01    3øT   264øH</t>
  </si>
  <si>
    <t>[2022-05-19 10:36:08.454]    01    3øT   205øH</t>
  </si>
  <si>
    <t>[2022-05-19 10:36:08.503]    01    3øT   179øH</t>
  </si>
  <si>
    <t>[2022-05-19 10:36:08.535]    01    3øT   193øH</t>
  </si>
  <si>
    <t>[2022-05-19 10:36:08.583]    01    3øT   197øH</t>
  </si>
  <si>
    <t>[2022-05-19 10:36:08.634]    01    4øT   206øH</t>
  </si>
  <si>
    <t>[2022-05-19 10:36:08.679]    01    4øT   201øH</t>
  </si>
  <si>
    <t>[2022-05-19 10:36:08.726]    01    4øT   219øH</t>
  </si>
  <si>
    <t>[2022-05-19 10:36:08.759]    01    3øT   204øH</t>
  </si>
  <si>
    <t>[2022-05-19 10:36:08.806]    01    5øT   249øH</t>
  </si>
  <si>
    <t>[2022-05-19 10:36:08.854]    01    3øT   222øH</t>
  </si>
  <si>
    <t>[2022-05-19 10:36:08.902]    01    5øT   257øH</t>
  </si>
  <si>
    <t>[2022-05-19 10:36:08.950]    01    4øT   233øH</t>
  </si>
  <si>
    <t>[2022-05-19 10:36:08.984]    01    4øT   257øH</t>
  </si>
  <si>
    <t>[2022-05-19 10:36:09.033]    02    3øT   223øH</t>
  </si>
  <si>
    <t>[2022-05-19 10:36:09.078]    02    3øT   239øH</t>
  </si>
  <si>
    <t>[2022-05-19 10:36:09.126]    02    2øT   292øH</t>
  </si>
  <si>
    <t>[2022-05-19 10:36:09.174]    02    3øT   232øH</t>
  </si>
  <si>
    <t>[2022-05-19 10:36:09.206]    02    3øT   197øH</t>
  </si>
  <si>
    <t>[2022-05-19 10:36:09.254]    02    3øT   234øH</t>
  </si>
  <si>
    <t>[2022-05-19 10:36:09.302]    02    3øT   182øH</t>
  </si>
  <si>
    <t>[2022-05-19 10:36:09.351]    02    2øT   253øH</t>
  </si>
  <si>
    <t>[2022-05-19 10:36:09.399]    02    3øT   198øH</t>
  </si>
  <si>
    <t>[2022-05-19 10:36:09.433]    02    2øT   258øH</t>
  </si>
  <si>
    <t>[2022-05-19 10:36:09.479]    02    3øT   210øH</t>
  </si>
  <si>
    <t>[2022-05-19 10:36:09.526]    02    3øT   244øH</t>
  </si>
  <si>
    <t>[2022-05-19 10:36:09.575]    02    3øT   214øH</t>
  </si>
  <si>
    <t>[2022-05-19 10:36:09.624]    02    2øT   201øH</t>
  </si>
  <si>
    <t>[2022-05-19 10:36:09.655]    02    3øT   183øH</t>
  </si>
  <si>
    <t>[2022-05-19 10:36:09.702]    02    3øT   196øH</t>
  </si>
  <si>
    <t>[2022-05-19 10:36:09.750]    03    3øT   168øH</t>
  </si>
  <si>
    <t>[2022-05-19 10:36:09.799]    03    3øT   200øH</t>
  </si>
  <si>
    <t>[2022-05-19 10:36:09.848]    03    2øT   132øH</t>
  </si>
  <si>
    <t>[2022-05-19 10:36:09.878]    03    2øT   197øH</t>
  </si>
  <si>
    <t>[2022-05-19 10:36:09.927]    03    3øT   162øH</t>
  </si>
  <si>
    <t>[2022-05-19 10:36:09.976]    03    2øT   236øH</t>
  </si>
  <si>
    <t>[2022-05-19 10:36:10.022]    03    3øT   188øH</t>
  </si>
  <si>
    <t>[2022-05-19 10:36:10.069]    03    2øT   256øH</t>
  </si>
  <si>
    <t>[2022-05-19 10:36:10.101]    03    3øT   176øH</t>
  </si>
  <si>
    <t>[2022-05-19 10:36:10.150]    03    3øT   173øH</t>
  </si>
  <si>
    <t>[2022-05-19 10:36:10.200]    03    3øT   197øH</t>
  </si>
  <si>
    <t>[2022-05-19 10:36:10.246]    03    3øT   201øH</t>
  </si>
  <si>
    <t>[2022-05-19 10:36:10.295]    03    3øT   180øH</t>
  </si>
  <si>
    <t>[2022-05-19 10:36:10.327]    03    2øT   209øH</t>
  </si>
  <si>
    <t>[2022-05-19 10:36:10.376]    03    3øT   184øH</t>
  </si>
  <si>
    <t>[2022-05-19 10:36:10.423]    03    2øT   196øH</t>
  </si>
  <si>
    <t>[2022-05-19 10:36:10.471]    04    2øT   172øH</t>
  </si>
  <si>
    <t>[2022-05-19 10:36:10.502]    04    3øT   173øH</t>
  </si>
  <si>
    <t>[2022-05-19 10:36:10.551]    04    2øT   190øH</t>
  </si>
  <si>
    <t>[2022-05-19 10:36:10.601]    04    3øT   179øH</t>
  </si>
  <si>
    <t>[2022-05-19 10:36:10.648]    04    2øT   196øH</t>
  </si>
  <si>
    <t>[2022-05-19 10:36:10.694]    04    3øT   175øH</t>
  </si>
  <si>
    <t>[2022-05-19 10:36:10.726]    04    3øT   167øH</t>
  </si>
  <si>
    <t>[2022-05-19 10:36:10.775]    04    3øT   179øH</t>
  </si>
  <si>
    <t>[2022-05-19 10:36:10.822]    04    3øT   166øH</t>
  </si>
  <si>
    <t>[2022-05-19 10:36:10.869]    04    3øT   166øH</t>
  </si>
  <si>
    <t>[2022-05-19 10:36:10.918]    04    3øT   189øH</t>
  </si>
  <si>
    <t>[2022-05-19 10:36:10.952]    04    3øT   180øH</t>
  </si>
  <si>
    <t>[2022-05-19 10:36:10.997]    04    3øT   177øH</t>
  </si>
  <si>
    <t>[2022-05-19 10:36:11.044]    04    3øT   191øH</t>
  </si>
  <si>
    <t>[2022-05-19 10:36:11.092]    04    2øT   182øH</t>
  </si>
  <si>
    <t>[2022-05-19 10:36:11.140]    04    2øT   181øH</t>
  </si>
  <si>
    <t>[2022-05-19 10:36:11.172]    05    3øT   206øH</t>
  </si>
  <si>
    <t>[2022-05-19 10:36:11.221]    05    2øT   191øH</t>
  </si>
  <si>
    <t>[2022-05-19 10:36:11.270]    05    2øT   189øH</t>
  </si>
  <si>
    <t>[2022-05-19 10:36:11.317]    05    3øT   227øH</t>
  </si>
  <si>
    <t>[2022-05-19 10:36:11.367]    05    2øT   231øH</t>
  </si>
  <si>
    <t>[2022-05-19 10:36:11.401]    05    3øT   202øH</t>
  </si>
  <si>
    <t>[2022-05-19 10:36:11.445]    05    3øT   218øH</t>
  </si>
  <si>
    <t>[2022-05-19 10:36:11.494]    05    3øT   178øH</t>
  </si>
  <si>
    <t>[2022-05-19 10:36:11.542]    05    2øT   182øH</t>
  </si>
  <si>
    <t>[2022-05-19 10:36:11.589]    05    2øT   181øH</t>
  </si>
  <si>
    <t>[2022-05-19 10:36:11.621]    05    3øT   201øH</t>
  </si>
  <si>
    <t>[2022-05-19 10:36:11.669]    05    3øT   170øH</t>
  </si>
  <si>
    <t>[2022-05-19 10:36:11.717]    05    3øT   210øH</t>
  </si>
  <si>
    <t>[2022-05-19 10:36:11.765]    05    3øT   193øH</t>
  </si>
  <si>
    <t>[2022-05-19 10:36:11.814]    05    3øT   214øH</t>
  </si>
  <si>
    <t>[2022-05-19 10:36:11.846]    05    3øT   204øH</t>
  </si>
  <si>
    <t>[2022-05-19 10:36:11.894]    06    2øT   215øH</t>
  </si>
  <si>
    <t>[2022-05-19 10:36:11.941]    06    2øT   244øH</t>
  </si>
  <si>
    <t>[2022-05-19 10:36:11.990]    06    2øT   211øH</t>
  </si>
  <si>
    <t>[2022-05-19 10:36:12.038]    06    3øT   171øH</t>
  </si>
  <si>
    <t>[2022-05-19 10:36:12.069]    06    3øT   207øH</t>
  </si>
  <si>
    <t>[2022-05-19 10:36:12.117]    06    3øT   158øH</t>
  </si>
  <si>
    <t>[2022-05-19 10:36:12.169]    06    3øT   206øH</t>
  </si>
  <si>
    <t>[2022-05-19 10:36:12.213]    06    3øT   170øH</t>
  </si>
  <si>
    <t>[2022-05-19 10:36:12.262]    06    2øT   200øH</t>
  </si>
  <si>
    <t>[2022-05-19 10:36:12.292]    06    3øT   177øH</t>
  </si>
  <si>
    <t>[2022-05-19 10:36:12.342]    06    2øT   184øH</t>
  </si>
  <si>
    <t>[2022-05-19 10:36:12.389]    06    3øT   204øH</t>
  </si>
  <si>
    <t>[2022-05-19 10:36:12.437]    06    3øT   223øH</t>
  </si>
  <si>
    <t>[2022-05-19 10:36:12.487]    06    3øT   191øH</t>
  </si>
  <si>
    <t>[2022-05-19 10:36:12.519]    06    3øT   235øH</t>
  </si>
  <si>
    <t>[2022-05-19 10:36:12.567]    06    3øT   221øH</t>
  </si>
  <si>
    <t>[2022-05-19 10:36:12.613]    07    3øT   207øH</t>
  </si>
  <si>
    <t>[2022-05-19 10:36:12.661]    07    2øT   230øH</t>
  </si>
  <si>
    <t>[2022-05-19 10:36:12.709]    07    3øT   214øH</t>
  </si>
  <si>
    <t>[2022-05-19 10:36:12.741]    07    3øT   263øH</t>
  </si>
  <si>
    <t>[2022-05-19 10:36:12.788]    07    3øT   247øH</t>
  </si>
  <si>
    <t>[2022-05-19 10:36:12.837]    07    2øT   286øH</t>
  </si>
  <si>
    <t>[2022-05-19 10:36:12.884]    07    3øT   246øH</t>
  </si>
  <si>
    <t>[2022-05-19 10:36:12.933]    07    3øT   221øH</t>
  </si>
  <si>
    <t>[2022-05-19 10:36:12.967]    07    3øT   302øH</t>
  </si>
  <si>
    <t>[2022-05-19 10:36:13.014]    07    2øT   227øH</t>
  </si>
  <si>
    <t>[2022-05-19 10:36:13.060]    07    3øT   287øH</t>
  </si>
  <si>
    <t>[2022-05-19 10:36:13.109]    07    3øT   236øH</t>
  </si>
  <si>
    <t>[2022-05-19 10:36:13.156]    07    2øT   286øH</t>
  </si>
  <si>
    <t>[2022-05-19 10:36:13.188]    07    3øT   312øH</t>
  </si>
  <si>
    <t>[2022-05-19 10:36:13.236]    07    3øT   285øH</t>
  </si>
  <si>
    <t>[2022-05-19 10:36:13.285]    07    2øT    10øH</t>
  </si>
  <si>
    <t>[2022-05-19 10:36:13.333]    08    2øT   315øH</t>
  </si>
  <si>
    <t>[2022-05-19 10:36:13.382]    08    2øT   192øH</t>
  </si>
  <si>
    <t>[2022-05-19 10:36:13.412]    08    2øT   344øH</t>
  </si>
  <si>
    <t>[2022-05-19 10:36:13.461]    08    2øT   152øH</t>
  </si>
  <si>
    <t>[2022-05-19 10:36:13.509]    08    2øT   168øH</t>
  </si>
  <si>
    <t>[2022-05-19 10:36:13.556]    08    2øT   137øH</t>
  </si>
  <si>
    <t>[2022-05-19 10:36:13.605]    08    2øT   224øH</t>
  </si>
  <si>
    <t>[2022-05-19 10:36:13.636]    08    2øT   299øH</t>
  </si>
  <si>
    <t>[2022-05-19 10:36:13.685]    08    2øT   182øH</t>
  </si>
  <si>
    <t>[2022-05-19 10:36:13.736]    08    2øT   227øH</t>
  </si>
  <si>
    <t>[2022-05-19 10:36:13.781]    08    3øT   160øH</t>
  </si>
  <si>
    <t>[2022-05-19 10:36:13.828]    08    2øT   163øH</t>
  </si>
  <si>
    <t>[2022-05-19 10:36:13.860]    08    3øT   134øH</t>
  </si>
  <si>
    <t>[2022-05-19 10:36:13.908]    08    2øT   166øH</t>
  </si>
  <si>
    <t>[2022-05-19 10:36:13.956]    08    3øT   108øH</t>
  </si>
  <si>
    <t>[2022-05-19 10:36:14.005]    08    2øT   134øH</t>
  </si>
  <si>
    <t>[2022-05-19 10:36:14.051]    09    2øT   136øH</t>
  </si>
  <si>
    <t>[2022-05-19 10:36:14.086]    09    2øT   137øH</t>
  </si>
  <si>
    <t>[2022-05-19 10:36:14.134]    09    3øT   147øH</t>
  </si>
  <si>
    <t>[2022-05-19 10:36:14.180]    09    2øT   145øH</t>
  </si>
  <si>
    <t>[2022-05-19 10:36:14.228]    09    2øT   171øH</t>
  </si>
  <si>
    <t>[2022-05-19 10:36:14.259]    09    2øT   152øH</t>
  </si>
  <si>
    <t>[2022-05-19 10:36:14.307]    09    3øT   116øH</t>
  </si>
  <si>
    <t>[2022-05-19 10:36:14.355]    09    2øT   157øH</t>
  </si>
  <si>
    <t>[2022-05-19 10:36:14.402]    09    2øT   112øH</t>
  </si>
  <si>
    <t>[2022-05-19 10:36:14.451]    09    2øT    45øH</t>
  </si>
  <si>
    <t>[2022-05-19 10:36:14.485]    09    3øT   118øH</t>
  </si>
  <si>
    <t>[2022-05-19 10:36:14.530]    09    3øT    92øH</t>
  </si>
  <si>
    <t>[2022-05-19 10:36:14.578]    09    3øT   120øH</t>
  </si>
  <si>
    <t>[2022-05-19 10:36:14.626]    09    4øT    99øH</t>
  </si>
  <si>
    <t>[2022-05-19 10:36:14.674]    09    3øT    74øH</t>
  </si>
  <si>
    <t>[2022-05-19 10:36:14.705]    09    4øT   126øH</t>
  </si>
  <si>
    <t>[2022-05-19 10:36:14.755]    10    3øT   141øH</t>
  </si>
  <si>
    <t>[2022-05-19 10:36:14.803]    10    2øT    28øH</t>
  </si>
  <si>
    <t>[2022-05-19 10:36:14.851]    10    2øT   137øH</t>
  </si>
  <si>
    <t>[2022-05-19 10:36:14.900]    10    2øT    77øH</t>
  </si>
  <si>
    <t>[2022-05-19 10:36:14.930]    10    2øT   191øH</t>
  </si>
  <si>
    <t>[2022-05-19 10:36:14.979]    10    2øT   126øH</t>
  </si>
  <si>
    <t>[2022-05-19 10:36:15.027]    10    3øT   251øH</t>
  </si>
  <si>
    <t>[2022-05-19 10:36:15.073]    10    2øT   119øH</t>
  </si>
  <si>
    <t>[2022-05-19 10:36:15.122]    10    2øT   264øH</t>
  </si>
  <si>
    <t>[2022-05-19 10:36:15.155]    10    2øT   168øH</t>
  </si>
  <si>
    <t>[2022-05-19 10:36:15.203]    10    2øT   271øH</t>
  </si>
  <si>
    <t>[2022-05-19 10:36:15.252]    10    2øT   152øH</t>
  </si>
  <si>
    <t>[2022-05-19 10:36:15.302]    10    2øT   300øH</t>
  </si>
  <si>
    <t>[2022-05-19 10:36:15.348]    10    2øT   188øH</t>
  </si>
  <si>
    <t>[2022-05-19 10:36:15.379]    10    2øT    61øH</t>
  </si>
  <si>
    <t>[2022-05-19 10:36:15.427]    10    3øT   192øH</t>
  </si>
  <si>
    <t>[2022-05-19 10:36:15.474]    11    2øT   182øH</t>
  </si>
  <si>
    <t>[2022-05-19 10:36:15.522]    11    3øT   170øH</t>
  </si>
  <si>
    <t>[2022-05-19 10:36:15.570]    11    2øT   220øH</t>
  </si>
  <si>
    <t>[2022-05-19 10:36:15.603]    11    2øT   164øH</t>
  </si>
  <si>
    <t>[2022-05-19 10:36:15.653]    11    2øT   248øH</t>
  </si>
  <si>
    <t>[2022-05-19 10:36:15.699]    11    2øT   179øH</t>
  </si>
  <si>
    <t>[2022-05-19 10:36:15.746]    11    3øT   167øH</t>
  </si>
  <si>
    <t>[2022-05-19 10:36:15.795]    11    3øT   253øH</t>
  </si>
  <si>
    <t>[2022-05-19 10:36:15.828]    11    2øT   319øH</t>
  </si>
  <si>
    <t>[2022-05-19 10:36:15.875]    11    3øT   251øH</t>
  </si>
  <si>
    <t>[2022-05-19 10:36:15.922]    11    2øT    41øH</t>
  </si>
  <si>
    <t>[2022-05-19 10:36:15.970]    11    2øT   246øH</t>
  </si>
  <si>
    <t>[2022-05-19 10:36:16.019]    11    3øT   172øH</t>
  </si>
  <si>
    <t>[2022-05-19 10:36:16.067]    11    2øT   243øH</t>
  </si>
  <si>
    <t>[2022-05-19 10:36:16.098]    11    3øT   214øH</t>
  </si>
  <si>
    <t>[2022-05-19 10:36:16.147]    11    2øT   230øH</t>
  </si>
  <si>
    <t>[2022-05-19 10:36:16.194]    12    2øT   355øH</t>
  </si>
  <si>
    <t>[2022-05-19 10:36:16.242]    12    3øT   250øH</t>
  </si>
  <si>
    <t>[2022-05-19 10:36:16.291]    12    2øT   201øH</t>
  </si>
  <si>
    <t>[2022-05-19 10:36:16.322]    12    2øT   295øH</t>
  </si>
  <si>
    <t>[2022-05-19 10:36:16.370]    12    2øT   109øH</t>
  </si>
  <si>
    <t>[2022-05-19 10:36:16.420]    12    2øT    21øH</t>
  </si>
  <si>
    <t>[2022-05-19 10:36:16.469]    12    2øT    84øH</t>
  </si>
  <si>
    <t>[2022-05-19 10:36:16.516]    12    2øT    22øH</t>
  </si>
  <si>
    <t>[2022-05-19 10:36:16.546]    12    2øT   183øH</t>
  </si>
  <si>
    <t>[2022-05-19 10:36:16.594]    12    3øT   356øH</t>
  </si>
  <si>
    <t>[2022-05-19 10:36:16.642]    12    2øT   278øH</t>
  </si>
  <si>
    <t>[2022-05-19 10:36:16.689]    12    2øT    38øH</t>
  </si>
  <si>
    <t>[2022-05-19 10:36:16.738]    12    2øT   227øH</t>
  </si>
  <si>
    <t>[2022-05-19 10:36:16.770]    12    2øT    40øH</t>
  </si>
  <si>
    <t>[2022-05-19 10:36:16.821]    12    2øT   293øH</t>
  </si>
  <si>
    <t>[2022-05-19 10:36:16.868]    12    2øT    33øH</t>
  </si>
  <si>
    <t>[2022-05-19 10:36:16.914]    13    2øT    15øH</t>
  </si>
  <si>
    <t>[2022-05-19 10:36:16.962]    13    2øT     6øH</t>
  </si>
  <si>
    <t>[2022-05-19 10:36:16.994]    13    2øT    53øH</t>
  </si>
  <si>
    <t>[2022-05-19 10:36:17.040]    13    2øT   357øH</t>
  </si>
  <si>
    <t>[2022-05-19 10:36:17.089]    13    2øT    77øH</t>
  </si>
  <si>
    <t>[2022-05-19 10:36:17.138]    13    2øT     6øH</t>
  </si>
  <si>
    <t>[2022-05-19 10:36:17.185]    13    2øT   357øH</t>
  </si>
  <si>
    <t>[2022-05-19 10:36:17.219]    13    2øT   321øH</t>
  </si>
  <si>
    <t>[2022-05-19 10:36:17.268]    13    3øT   338øH</t>
  </si>
  <si>
    <t>[2022-05-19 10:36:17.314]    13    2øT   316øH</t>
  </si>
  <si>
    <t>[2022-05-19 10:36:17.362]    13    2øT   296øH</t>
  </si>
  <si>
    <t>[2022-05-19 10:36:17.409]    13    3øT   293øH</t>
  </si>
  <si>
    <t>[2022-05-19 10:36:17.441]    13    2øT   302øH</t>
  </si>
  <si>
    <t>[2022-05-19 10:36:17.489]    13    2øT   258øH</t>
  </si>
  <si>
    <t>[2022-05-19 10:36:17.537]    13    2øT   302øH</t>
  </si>
  <si>
    <t>[2022-05-19 10:36:17.585]    13    2øT   218øH</t>
  </si>
  <si>
    <t>[2022-05-19 10:36:17.637]    14    2øT   253øH</t>
  </si>
  <si>
    <t>[2022-05-19 10:36:17.666]    14    2øT   285øH</t>
  </si>
  <si>
    <t>[2022-05-19 10:36:17.712]    14    3øT   309øH</t>
  </si>
  <si>
    <t>[2022-05-19 10:36:17.762]    14    2øT   322øH</t>
  </si>
  <si>
    <t>[2022-05-19 10:36:17.809]    14    3øT   329øH</t>
  </si>
  <si>
    <t>[2022-05-19 10:36:17.857]    14    2øT   326øH</t>
  </si>
  <si>
    <t>[2022-05-19 10:36:17.889]    14    3øT   323øH</t>
  </si>
  <si>
    <t>[2022-05-19 10:36:17.936]    14    2øT   271øH</t>
  </si>
  <si>
    <t>[2022-05-19 10:36:17.986]    14    2øT   166øH</t>
  </si>
  <si>
    <t>[2022-05-19 10:36:18.033]    14    2øT   336øH</t>
  </si>
  <si>
    <t>[2022-05-19 10:36:18.082]    14    2øT   190øH</t>
  </si>
  <si>
    <t>[2022-05-19 10:36:18.112]    14    2øT   278øH</t>
  </si>
  <si>
    <t>[2022-05-19 10:36:18.161]    14    2øT   152øH</t>
  </si>
  <si>
    <t>[2022-05-19 10:36:18.209]    14    2øT   164øH</t>
  </si>
  <si>
    <t>[2022-05-19 10:36:18.256]    14    2øT   241øH</t>
  </si>
  <si>
    <t>[2022-05-19 10:36:18.304]    14    2øT   163øH</t>
  </si>
  <si>
    <t>[2022-05-19 10:36:18.335]    15    2øT   305øH</t>
  </si>
  <si>
    <t>[2022-05-19 10:36:18.387]    15    2øT   265øH</t>
  </si>
  <si>
    <t>[2022-05-19 10:36:18.435]    15    2øT   286øH</t>
  </si>
  <si>
    <t>[2022-05-19 10:36:18.481]    15    2øT   243øH</t>
  </si>
  <si>
    <t>[2022-05-19 10:36:18.529]    15    3øT   270øH</t>
  </si>
  <si>
    <t>[2022-05-19 10:36:18.561]    15    2øT   271øH</t>
  </si>
  <si>
    <t>[2022-05-19 10:36:18.609]    15    2øT   320øH</t>
  </si>
  <si>
    <t>[2022-05-19 10:36:18.656]    15    2øT   151øH</t>
  </si>
  <si>
    <t>[2022-05-19 10:36:18.704]    15    2øT   209øH</t>
  </si>
  <si>
    <t>[2022-05-19 10:36:18.752]    15    2øT   206øH</t>
  </si>
  <si>
    <t>[2022-05-19 10:36:18.786]    15    2øT   183øH</t>
  </si>
  <si>
    <t>[2022-05-19 10:36:18.832]    15    2øT   206øH</t>
  </si>
  <si>
    <t>[2022-05-19 10:36:18.879]    15    2øT   260øH</t>
  </si>
  <si>
    <t>[2022-05-19 10:36:18.928]    15    2øT    62øH</t>
  </si>
  <si>
    <t>[2022-05-19 10:36:18.976]    15    2øT   281øH</t>
  </si>
  <si>
    <t>[2022-05-19 10:36:19.008]    15    2øT   284øH</t>
  </si>
  <si>
    <t>[2022-05-19 10:36:19.056]    16    2øT   319øH</t>
  </si>
  <si>
    <t>[2022-05-19 10:36:19.104]    16    2øT   221øH</t>
  </si>
  <si>
    <t>[2022-05-19 10:36:19.152]    16    2øT    17øH</t>
  </si>
  <si>
    <t>[2022-05-19 10:36:19.202]    16    2øT   217øH</t>
  </si>
  <si>
    <t>[2022-05-19 10:36:19.231]    16    2øT   255øH</t>
  </si>
  <si>
    <t>[2022-05-19 10:36:19.280]    16    2øT   169øH</t>
  </si>
  <si>
    <t>[2022-05-19 10:36:19.329]    16    2øT     3øH</t>
  </si>
  <si>
    <t>[2022-05-19 10:36:19.376]    16    3øT   192øH</t>
  </si>
  <si>
    <t>[2022-05-19 10:36:19.425]    16    3øT   147øH</t>
  </si>
  <si>
    <t>[2022-05-19 10:36:19.456]    16    2øT   191øH</t>
  </si>
  <si>
    <t>[2022-05-19 10:36:19.504]    16    2øT   112øH</t>
  </si>
  <si>
    <t>[2022-05-19 10:36:19.553]    16    2øT   237øH</t>
  </si>
  <si>
    <t>[2022-05-19 10:36:19.601]    16    3øT   305øH</t>
  </si>
  <si>
    <t>[2022-05-19 10:36:19.647]    16    2øT   259øH</t>
  </si>
  <si>
    <t>[2022-05-19 10:36:19.679]    16    2øT   207øH</t>
  </si>
  <si>
    <t>[2022-05-19 10:36:19.730]    16    2øT   281øH</t>
  </si>
  <si>
    <t>[2022-05-19 10:36:19.776]    17    2øT   253øH</t>
  </si>
  <si>
    <t>[2022-05-19 10:36:19.823]    17    2øT   230øH</t>
  </si>
  <si>
    <t>[2022-05-19 10:36:19.871]    17    3øT   155øH</t>
  </si>
  <si>
    <t>[2022-05-19 10:36:19.902]    17    2øT   218øH</t>
  </si>
  <si>
    <t>[2022-05-19 10:36:19.954]    17    2øT   125øH</t>
  </si>
  <si>
    <t>[2022-05-19 10:36:20.003]    17    2øT   205øH</t>
  </si>
  <si>
    <t>[2022-05-19 10:36:20.047]    17    2øT   145øH</t>
  </si>
  <si>
    <t>[2022-05-19 10:36:20.095]    17    2øT   206øH</t>
  </si>
  <si>
    <t>[2022-05-19 10:36:20.127]    17    3øT   179øH</t>
  </si>
  <si>
    <t>[2022-05-19 10:36:20.176]    17    2øT   121øH</t>
  </si>
  <si>
    <t>[2022-05-19 10:36:20.222]    17    3øT   184øH</t>
  </si>
  <si>
    <t>[2022-05-19 10:36:20.271]    17    2øT   158øH</t>
  </si>
  <si>
    <t>[2022-05-19 10:36:20.322]    17    3øT   196øH</t>
  </si>
  <si>
    <t>[2022-05-19 10:36:20.352]    17    2øT   143øH</t>
  </si>
  <si>
    <t>[2022-05-19 10:36:20.399]    17    2øT   205øH</t>
  </si>
  <si>
    <t>[2022-05-19 10:36:20.447]    17    3øT   178øH</t>
  </si>
  <si>
    <t>[2022-05-19 10:36:20.495]    18    3øT   180øH</t>
  </si>
  <si>
    <t>[2022-05-19 10:36:20.544]    18    3øT   193øH</t>
  </si>
  <si>
    <t>[2022-05-19 10:36:20.591]    18    3øT   183øH</t>
  </si>
  <si>
    <t>[2022-05-19 10:36:20.623]    18    2øT   164øH</t>
  </si>
  <si>
    <t>[2022-05-19 10:36:20.670]    18    2øT   189øH</t>
  </si>
  <si>
    <t>[2022-05-19 10:36:20.720]    18    2øT   162øH</t>
  </si>
  <si>
    <t>[2022-05-19 10:36:20.768]    18    2øT   179øH</t>
  </si>
  <si>
    <t>[2022-05-19 10:36:20.815]    18    2øT   149øH</t>
  </si>
  <si>
    <t>[2022-05-19 10:36:20.846]    18    3øT   179øH</t>
  </si>
  <si>
    <t>[2022-05-19 10:36:20.895]    18    2øT   160øH</t>
  </si>
  <si>
    <t>[2022-05-19 10:36:20.945]    18    2øT   228øH</t>
  </si>
  <si>
    <t>[2022-05-19 10:36:20.991]    18    2øT   169øH</t>
  </si>
  <si>
    <t>[2022-05-19 10:36:21.039]    18    2øT   172øH</t>
  </si>
  <si>
    <t>[2022-05-19 10:36:21.070]    18    3øT   212øH</t>
  </si>
  <si>
    <t>[2022-05-19 10:36:21.121]    18    2øT   146øH</t>
  </si>
  <si>
    <t>[2022-05-19 10:36:21.169]    18    3øT   229øH</t>
  </si>
  <si>
    <t>[2022-05-19 10:36:21.215]    19    2øT   253øH</t>
  </si>
  <si>
    <t>[2022-05-19 10:36:21.262]    19    3øT   151øH</t>
  </si>
  <si>
    <t>[2022-05-19 10:36:21.295]    19    2øT   310øH</t>
  </si>
  <si>
    <t>[2022-05-19 10:36:21.342]    19    3øT   194øH</t>
  </si>
  <si>
    <t>[2022-05-19 10:36:21.391]    19    2øT   285øH</t>
  </si>
  <si>
    <t>[2022-05-19 10:36:21.438]    19    3øT   250øH</t>
  </si>
  <si>
    <t>[2022-05-19 10:36:21.488]    19    2øT   282øH</t>
  </si>
  <si>
    <t>[2022-05-19 10:36:21.520]    19    3øT   297øH</t>
  </si>
  <si>
    <t>[2022-05-19 10:36:21.565]    19    2øT   265øH</t>
  </si>
  <si>
    <t>[2022-05-19 10:36:21.615]    19    2øT   242øH</t>
  </si>
  <si>
    <t>[2022-05-19 10:36:21.662]    19    2øT   243øH</t>
  </si>
  <si>
    <t>[2022-05-19 10:36:21.711]    19    2øT   282øH</t>
  </si>
  <si>
    <t>[2022-05-19 10:36:21.742]    19    2øT   253øH</t>
  </si>
  <si>
    <t>[2022-05-19 10:36:21.789]    19    2øT   295øH</t>
  </si>
  <si>
    <t>[2022-05-19 10:36:21.838]    19    3øT   219øH</t>
  </si>
  <si>
    <t>[2022-05-19 10:36:21.886]    19    2øT   282øH</t>
  </si>
  <si>
    <t>[2022-05-19 10:36:21.934]    20    3øT   285øH</t>
  </si>
  <si>
    <t>[2022-05-19 10:36:21.969]    20    2øT   234øH</t>
  </si>
  <si>
    <t>[2022-05-19 10:36:22.015]    20    3øT   259øH</t>
  </si>
  <si>
    <t>[2022-05-19 10:36:22.062]    20    2øT   247øH</t>
  </si>
  <si>
    <t>[2022-05-19 10:36:22.110]    20    2øT   294øH</t>
  </si>
  <si>
    <t>[2022-05-19 10:36:22.158]    20    3øT   268øH</t>
  </si>
  <si>
    <t>[2022-05-19 10:36:22.190]    20    3øT   299øH</t>
  </si>
  <si>
    <t>[2022-05-19 10:36:22.237]    20    3øT   259øH</t>
  </si>
  <si>
    <t>[2022-05-19 10:36:22.287]    20    3øT   326øH</t>
  </si>
  <si>
    <t>[2022-05-19 10:36:22.336]    20    3øT   274øH</t>
  </si>
  <si>
    <t>[2022-05-19 10:36:22.382]    20    3øT   325øH</t>
  </si>
  <si>
    <t>[2022-05-19 10:36:22.414]    20    3øT   267øH</t>
  </si>
  <si>
    <t>[2022-05-19 10:36:22.461]    20    2øT   319øH</t>
  </si>
  <si>
    <t>[2022-05-19 10:36:22.509]    20    3øT   255øH</t>
  </si>
  <si>
    <t>[2022-05-19 10:36:22.558]    20    3øT   314øH</t>
  </si>
  <si>
    <t>[2022-05-19 10:36:22.609]    20    2øT   240øH</t>
  </si>
  <si>
    <t>[2022-05-19 10:36:22.639]    21    3øT   257øH</t>
  </si>
  <si>
    <t>[2022-05-19 10:36:22.687]    21    3øT   276øH</t>
  </si>
  <si>
    <t>[2022-05-19 10:36:22.733]    21    2øT   240øH</t>
  </si>
  <si>
    <t>[2022-05-19 10:36:22.782]    21    3øT   287øH</t>
  </si>
  <si>
    <t>[2022-05-19 10:36:22.829]    21    3øT   238øH</t>
  </si>
  <si>
    <t>[2022-05-19 10:36:22.861]    21    3øT   271øH</t>
  </si>
  <si>
    <t>[2022-05-19 10:36:22.908]    21    3øT   320øH</t>
  </si>
  <si>
    <t>[2022-05-19 10:36:22.956]    21    3øT   258øH</t>
  </si>
  <si>
    <t>[2022-05-19 10:36:23.004]    21    3øT   315øH</t>
  </si>
  <si>
    <t>[2022-05-19 10:36:23.052]    21    3øT   292øH</t>
  </si>
  <si>
    <t>[2022-05-19 10:36:23.086]    21    3øT   318øH</t>
  </si>
  <si>
    <t>[2022-05-19 10:36:23.131]    21    3øT   320øH</t>
  </si>
  <si>
    <t>[2022-05-19 10:36:23.179]    21    3øT   288øH</t>
  </si>
  <si>
    <t>[2022-05-19 10:36:23.227]    21    3øT   339øH</t>
  </si>
  <si>
    <t>[2022-05-19 10:36:23.276]    21    3øT   299øH</t>
  </si>
  <si>
    <t>[2022-05-19 10:36:23.308]    21    2øT   341øH</t>
  </si>
  <si>
    <t xml:space="preserve">[2022-05-19 10:36:23.343] </t>
  </si>
  <si>
    <t>[2022-05-19 10:36:23.357]  Normal shutdown.</t>
  </si>
  <si>
    <t xml:space="preserve">[2022-05-19 10:36:23.375] </t>
  </si>
  <si>
    <t xml:space="preserve">[2022-05-19 10:36:23.405]  End of instrument data file.        </t>
  </si>
  <si>
    <t xml:space="preserve">[2022-05-19 10:36:23.438] </t>
  </si>
  <si>
    <t xml:space="preserve">[2022-05-19 10:36:23.470]  Terminate file logging operation now          </t>
  </si>
  <si>
    <t>[2022-05-19 10:36:23.550]  and press any key to continue.</t>
  </si>
  <si>
    <t xml:space="preserve">[2022-05-19 10:36:37.780] </t>
  </si>
  <si>
    <t>[2022-05-19 10:36:37.810] _______________________________________________________</t>
  </si>
  <si>
    <t xml:space="preserve">[2022-05-19 10:36:37.892] </t>
  </si>
  <si>
    <t xml:space="preserve">[2022-05-19 10:36:37.892]               </t>
  </si>
  <si>
    <t xml:space="preserve">[2022-05-19 10:36:37.955]    </t>
  </si>
  <si>
    <t xml:space="preserve">[2022-05-19 10:36:38.049]     </t>
  </si>
  <si>
    <t xml:space="preserve">[2022-05-19 10:36:38.145]        </t>
  </si>
  <si>
    <t xml:space="preserve">[2022-05-19 10:36:38.241]   </t>
  </si>
  <si>
    <t xml:space="preserve">[2022-05-19 10:36:38.290] </t>
  </si>
  <si>
    <t xml:space="preserve">[2022-05-19 10:36:38.339]    </t>
  </si>
  <si>
    <t xml:space="preserve">[2022-05-19 10:36:38.433]    </t>
  </si>
  <si>
    <t xml:space="preserve">[2022-05-19 10:36:38.545]    </t>
  </si>
  <si>
    <t xml:space="preserve">[2022-05-19 10:36:38.642]    </t>
  </si>
  <si>
    <t xml:space="preserve">      Thu May 19 00:07:40 2022</t>
  </si>
  <si>
    <t xml:space="preserve">[2022-05-19 10:36:38.691] </t>
  </si>
  <si>
    <t xml:space="preserve">[2022-05-19 10:36:38.721]       </t>
  </si>
  <si>
    <t xml:space="preserve">[2022-05-19 10:36:38.817]        </t>
  </si>
  <si>
    <t xml:space="preserve">[2022-05-19 10:36:38.913]  </t>
  </si>
  <si>
    <t xml:space="preserve">[2022-05-19 10:36:38.994]   </t>
  </si>
  <si>
    <t xml:space="preserve">[2022-05-19 10:36:39.057] </t>
  </si>
  <si>
    <t xml:space="preserve">[2022-05-19 10:36:39.073]       </t>
  </si>
  <si>
    <t xml:space="preserve">  Selection  ? 4</t>
  </si>
  <si>
    <t xml:space="preserve">[2022-05-19 10:36:41.986] </t>
  </si>
  <si>
    <t>[2022-05-19 10:36:42.000]  &lt;05/19/2022 00:07:45&gt; Sleeping . . .</t>
  </si>
  <si>
    <t xml:space="preserve">[2022-05-19 10:21:24.174] </t>
  </si>
  <si>
    <t>[2022-05-19 10:21:24.192]  Enter &lt;CTRL-C&gt; now to wake up?</t>
  </si>
  <si>
    <t xml:space="preserve">[2022-05-19 10:21:24.831] </t>
  </si>
  <si>
    <t>[2022-05-19 10:21:24.864] _______________________________________________________</t>
  </si>
  <si>
    <t xml:space="preserve">[2022-05-19 10:21:24.927] </t>
  </si>
  <si>
    <t xml:space="preserve">[2022-05-19 10:21:24.942]               </t>
  </si>
  <si>
    <t xml:space="preserve">[2022-05-19 10:21:25.008]       </t>
  </si>
  <si>
    <t xml:space="preserve">[2022-05-19 10:21:25.103]     </t>
  </si>
  <si>
    <t xml:space="preserve">[2022-05-19 10:21:25.183]        </t>
  </si>
  <si>
    <t xml:space="preserve">[2022-05-19 10:21:25.296]   </t>
  </si>
  <si>
    <t xml:space="preserve">Version: pst-21c4.c   S/N: ML11741-01            </t>
  </si>
  <si>
    <t xml:space="preserve">[2022-05-19 10:21:25.341] </t>
  </si>
  <si>
    <t xml:space="preserve">[2022-05-19 10:21:25.392]    </t>
  </si>
  <si>
    <t xml:space="preserve">[2022-05-19 10:21:25.486]    </t>
  </si>
  <si>
    <t xml:space="preserve">[2022-05-19 10:21:25.598]    </t>
  </si>
  <si>
    <t xml:space="preserve">[2022-05-19 10:21:25.695]    </t>
  </si>
  <si>
    <t xml:space="preserve">      Thu May 19 00:14:08 2022</t>
  </si>
  <si>
    <t xml:space="preserve">[2022-05-19 10:21:25.742] </t>
  </si>
  <si>
    <t xml:space="preserve">[2022-05-19 10:21:25.774]       </t>
  </si>
  <si>
    <t xml:space="preserve">[2022-05-19 10:21:25.870]        </t>
  </si>
  <si>
    <t xml:space="preserve">[2022-05-19 10:21:25.967]  </t>
  </si>
  <si>
    <t xml:space="preserve">[2022-05-19 10:21:26.047]   </t>
  </si>
  <si>
    <t xml:space="preserve">[2022-05-19 10:21:26.110] </t>
  </si>
  <si>
    <t xml:space="preserve">[2022-05-19 10:21:26.126]       </t>
  </si>
  <si>
    <t xml:space="preserve">[2022-05-19 10:21:36.521] </t>
  </si>
  <si>
    <t xml:space="preserve">[2022-05-19 10:21:36.554]     </t>
  </si>
  <si>
    <t xml:space="preserve">[2022-05-19 10:21:36.634]   </t>
  </si>
  <si>
    <t xml:space="preserve">[2022-05-19 10:21:36.698]   </t>
  </si>
  <si>
    <t xml:space="preserve">[2022-05-19 10:21:36.793]   </t>
  </si>
  <si>
    <t xml:space="preserve">     Thu May 19 00:14:19 2022</t>
  </si>
  <si>
    <t xml:space="preserve">[2022-05-19 10:21:36.827] </t>
  </si>
  <si>
    <t xml:space="preserve">[2022-05-19 10:21:36.844]        </t>
  </si>
  <si>
    <t xml:space="preserve">[2022-05-19 10:21:36.906]  </t>
  </si>
  <si>
    <t xml:space="preserve">[2022-05-19 10:21:36.970]     </t>
  </si>
  <si>
    <t xml:space="preserve">[2022-05-19 10:21:37.019] </t>
  </si>
  <si>
    <t xml:space="preserve">[2022-05-19 10:21:37.066]     </t>
  </si>
  <si>
    <t xml:space="preserve">[2022-05-19 10:21:37.098] </t>
  </si>
  <si>
    <t xml:space="preserve">[2022-05-19 10:21:37.098]        </t>
  </si>
  <si>
    <t xml:space="preserve">[2022-05-19 10:21:44.536] </t>
  </si>
  <si>
    <t xml:space="preserve">[2022-05-19 10:21:44.567]  To copy the instrument data file to a disk file, initiate          </t>
  </si>
  <si>
    <t xml:space="preserve">[2022-05-19 10:21:44.694]  your communication program's file logging command now and          </t>
  </si>
  <si>
    <t xml:space="preserve">[2022-05-19 10:21:44.806]  then press any key to start the transfer.  The instrument          </t>
  </si>
  <si>
    <t xml:space="preserve">[2022-05-19 10:21:44.918]  data file will remain resident and is not erased by this          </t>
  </si>
  <si>
    <t>[2022-05-19 10:21:45.014]  offload procedure.</t>
  </si>
  <si>
    <t xml:space="preserve">[2022-05-19 10:21:45.030] </t>
  </si>
  <si>
    <t xml:space="preserve">[2022-05-19 10:21:54.641] </t>
  </si>
  <si>
    <t xml:space="preserve">[2022-05-19 10:21:54.676]  Software version:  pst-21c4.c          </t>
  </si>
  <si>
    <t xml:space="preserve">[2022-05-19 10:21:54.755]  Compiled:          Jan 15 2003 18:20:44  </t>
  </si>
  <si>
    <t>[2022-05-19 10:21:54.834]  Electronics S/N:   ML11741-01</t>
  </si>
  <si>
    <t xml:space="preserve">[2022-05-19 10:21:54.868] </t>
  </si>
  <si>
    <t>[2022-05-19 10:21:54.914]  Data recording start time = 04/22/2021 23:03:13</t>
  </si>
  <si>
    <t>[2022-05-19 10:21:55.027]  Data recording stop time  = 04/21/2022 00:00:30</t>
  </si>
  <si>
    <t xml:space="preserve">[2022-05-19 10:21:55.092] </t>
  </si>
  <si>
    <t>[2022-05-19 10:21:55.092]  HEADER</t>
  </si>
  <si>
    <t>[2022-05-19 10:21:55.107]  ______</t>
  </si>
  <si>
    <t xml:space="preserve">[2022-05-19 10:21:55.107] </t>
  </si>
  <si>
    <t>[2022-05-19 10:21:55.138]  SAZ23_2021_2000m_11741_01_Tilt</t>
  </si>
  <si>
    <t xml:space="preserve">[2022-05-19 10:21:55.173] </t>
  </si>
  <si>
    <t>[2022-05-19 10:21:55.186]  SCHEDULE</t>
  </si>
  <si>
    <t>[2022-05-19 10:21:55.204]  ________</t>
  </si>
  <si>
    <t xml:space="preserve">[2022-05-19 10:21:55.220] </t>
  </si>
  <si>
    <t>[2022-05-19 10:21:55.267]  Event 01 of 22 @ 04/29/2021 00:00:00</t>
  </si>
  <si>
    <t>[2022-05-19 10:21:55.365]  Event 02 of 22 @ 05/16/2021 00:00:00</t>
  </si>
  <si>
    <t>[2022-05-19 10:21:55.442]  Event 03 of 22 @ 06/02/2021 00:00:00</t>
  </si>
  <si>
    <t>[2022-05-19 10:21:55.539]  Event 04 of 22 @ 06/19/2021 00:00:00</t>
  </si>
  <si>
    <t>[2022-05-19 10:21:55.634]  Event 05 of 22 @ 07/06/2021 00:00:00</t>
  </si>
  <si>
    <t>[2022-05-19 10:21:55.713]  Event 06 of 22 @ 07/23/2021 00:00:00</t>
  </si>
  <si>
    <t>[2022-05-19 10:21:55.810]  Event 07 of 22 @ 08/09/2021 00:00:00</t>
  </si>
  <si>
    <t>[2022-05-19 10:21:55.906]  Event 08 of 22 @ 08/26/2021 00:00:00</t>
  </si>
  <si>
    <t>[2022-05-19 10:21:56.002]  Event 09 of 22 @ 09/12/2021 00:00:00</t>
  </si>
  <si>
    <t>[2022-05-19 10:21:56.082]  Event 10 of 22 @ 09/29/2021 00:00:00</t>
  </si>
  <si>
    <t>[2022-05-19 10:21:56.178]  Event 11 of 22 @ 10/16/2021 00:00:00</t>
  </si>
  <si>
    <t>[2022-05-19 10:21:56.274]  Event 12 of 22 @ 11/02/2021 00:00:00</t>
  </si>
  <si>
    <t>[2022-05-19 10:21:56.370]  Event 13 of 22 @ 11/19/2021 00:00:00</t>
  </si>
  <si>
    <t>[2022-05-19 10:21:56.467]  Event 14 of 22 @ 12/06/2021 00:00:00</t>
  </si>
  <si>
    <t>[2022-05-19 10:21:56.549]  Event 15 of 22 @ 12/23/2021 00:00:00</t>
  </si>
  <si>
    <t>[2022-05-19 10:21:56.642]  Event 16 of 22 @ 01/09/2022 00:00:00</t>
  </si>
  <si>
    <t>[2022-05-19 10:21:56.738]  Event 17 of 22 @ 01/26/2022 00:00:00</t>
  </si>
  <si>
    <t>[2022-05-19 10:21:56.818]  Event 18 of 22 @ 02/12/2022 00:00:00</t>
  </si>
  <si>
    <t>[2022-05-19 10:21:56.915]  Event 19 of 22 @ 03/01/2022 00:00:00</t>
  </si>
  <si>
    <t>[2022-05-19 10:21:57.011]  Event 20 of 22 @ 03/18/2022 00:00:00</t>
  </si>
  <si>
    <t>[2022-05-19 10:21:57.090]  Event 21 of 22 @ 04/04/2022 00:00:00</t>
  </si>
  <si>
    <t>[2022-05-19 10:21:57.186]  Event 22 of 22 @ 04/21/2022 00:00:00</t>
  </si>
  <si>
    <t xml:space="preserve">[2022-05-19 10:21:57.235] </t>
  </si>
  <si>
    <t>[2022-05-19 10:21:57.235]  DEPLOYMENT DATA</t>
  </si>
  <si>
    <t>[2022-05-19 10:21:57.265]  _______________</t>
  </si>
  <si>
    <t xml:space="preserve">[2022-05-19 10:21:57.283] </t>
  </si>
  <si>
    <t xml:space="preserve">[2022-05-19 10:21:57.300] </t>
  </si>
  <si>
    <t>[2022-05-19 10:21:57.300]  Event 01</t>
  </si>
  <si>
    <t xml:space="preserve">[2022-05-19 10:21:57.317] </t>
  </si>
  <si>
    <t>[2022-05-19 10:21:57.361]  Scheduled start time:  04/29/2021 00:00:00</t>
  </si>
  <si>
    <t>[2022-05-19 10:21:57.458]  Event start time:      04/29/2021 00:00:00</t>
  </si>
  <si>
    <t>[2022-05-19 10:21:57.554]  Event stop time:       04/29/2021 00:00:27</t>
  </si>
  <si>
    <t xml:space="preserve">[2022-05-19 10:21:57.605] </t>
  </si>
  <si>
    <t>[2022-05-19 10:21:57.633]          Aligned  Battery  Temperature  Tilt  Heading</t>
  </si>
  <si>
    <t>[2022-05-19 10:21:57.761]  Start:     Y       19.8        2øC       2ø    213ø</t>
  </si>
  <si>
    <t>[2022-05-19 10:21:57.892]  Stop:      Y       19.5        3øC       2ø    216ø</t>
  </si>
  <si>
    <t xml:space="preserve">[2022-05-19 10:21:57.955] </t>
  </si>
  <si>
    <t>[2022-05-19 10:21:57.955]  Event 02</t>
  </si>
  <si>
    <t xml:space="preserve">[2022-05-19 10:21:57.971] </t>
  </si>
  <si>
    <t>[2022-05-19 10:21:58.018]  Scheduled start time:  05/16/2021 00:00:00</t>
  </si>
  <si>
    <t>[2022-05-19 10:21:58.114]  Event start time:      05/16/2021 00:00:00</t>
  </si>
  <si>
    <t>[2022-05-19 10:21:58.209]  Event stop time:       05/16/2021 00:00:27</t>
  </si>
  <si>
    <t xml:space="preserve">[2022-05-19 10:21:58.260] </t>
  </si>
  <si>
    <t>[2022-05-19 10:21:58.289]          Aligned  Battery  Temperature  Tilt  Heading</t>
  </si>
  <si>
    <t>[2022-05-19 10:21:58.419]  Start:     Y       19.5        2øC       2ø    190ø</t>
  </si>
  <si>
    <t>[2022-05-19 10:21:58.546]  Stop:      Y       19.2        3øC       2ø    192ø</t>
  </si>
  <si>
    <t xml:space="preserve">[2022-05-19 10:21:58.616] </t>
  </si>
  <si>
    <t>[2022-05-19 10:21:58.627]  Event 03</t>
  </si>
  <si>
    <t xml:space="preserve">[2022-05-19 10:21:58.627] </t>
  </si>
  <si>
    <t>[2022-05-19 10:21:58.676]  Scheduled start time:  06/02/2021 00:00:00</t>
  </si>
  <si>
    <t>[2022-05-19 10:21:58.769]  Event start time:      06/02/2021 00:00:00</t>
  </si>
  <si>
    <t>[2022-05-19 10:21:58.866]  Event stop time:       06/02/2021 00:00:27</t>
  </si>
  <si>
    <t xml:space="preserve">[2022-05-19 10:21:58.918] </t>
  </si>
  <si>
    <t>[2022-05-19 10:21:58.946]          Aligned  Battery  Temperature  Tilt  Heading</t>
  </si>
  <si>
    <t>[2022-05-19 10:21:59.074]  Start:     Y       19.1        2øC       2ø    170ø</t>
  </si>
  <si>
    <t>[2022-05-19 10:21:59.202]  Stop:      Y       18.8        3øC       2ø    170ø</t>
  </si>
  <si>
    <t xml:space="preserve">[2022-05-19 10:21:59.267] </t>
  </si>
  <si>
    <t>[2022-05-19 10:21:59.281]  Event 04</t>
  </si>
  <si>
    <t xml:space="preserve">[2022-05-19 10:21:59.301] </t>
  </si>
  <si>
    <t>[2022-05-19 10:21:59.345]  Scheduled start time:  06/19/2021 00:00:00</t>
  </si>
  <si>
    <t>[2022-05-19 10:21:59.441]  Event start time:      06/19/2021 00:00:00</t>
  </si>
  <si>
    <t>[2022-05-19 10:21:59.521]  Event stop time:       06/19/2021 00:00:27</t>
  </si>
  <si>
    <t xml:space="preserve">[2022-05-19 10:21:59.587] </t>
  </si>
  <si>
    <t>[2022-05-19 10:21:59.617]          Aligned  Battery  Temperature  Tilt  Heading</t>
  </si>
  <si>
    <t>[2022-05-19 10:21:59.747]  Start:     Y       18.8        2øC       2ø    195ø</t>
  </si>
  <si>
    <t>[2022-05-19 10:21:59.873]  Stop:      Y       18.5        3øC       2ø    195ø</t>
  </si>
  <si>
    <t xml:space="preserve">[2022-05-19 10:21:59.922] </t>
  </si>
  <si>
    <t>[2022-05-19 10:21:59.936]  Event 05</t>
  </si>
  <si>
    <t xml:space="preserve">[2022-05-19 10:21:59.954] </t>
  </si>
  <si>
    <t>[2022-05-19 10:22:00.001]  Scheduled start time:  07/06/2021 00:00:00</t>
  </si>
  <si>
    <t>[2022-05-19 10:22:00.096]  Event start time:      07/06/2021 00:00:00</t>
  </si>
  <si>
    <t>[2022-05-19 10:22:00.192]  Event stop time:       07/06/2021 00:00:27</t>
  </si>
  <si>
    <t xml:space="preserve">[2022-05-19 10:22:00.241] </t>
  </si>
  <si>
    <t>[2022-05-19 10:22:00.272]          Aligned  Battery  Temperature  Tilt  Heading</t>
  </si>
  <si>
    <t>[2022-05-19 10:22:00.401]  Start:     Y       18.5        3øC       2ø    178ø</t>
  </si>
  <si>
    <t>[2022-05-19 10:22:00.529]  Stop:      Y       18.2        3øC       2ø    179ø</t>
  </si>
  <si>
    <t xml:space="preserve">[2022-05-19 10:22:00.595] </t>
  </si>
  <si>
    <t>[2022-05-19 10:22:00.595]  Event 06</t>
  </si>
  <si>
    <t xml:space="preserve">[2022-05-19 10:22:00.612] </t>
  </si>
  <si>
    <t>[2022-05-19 10:22:00.657]  Scheduled start time:  07/23/2021 00:00:00</t>
  </si>
  <si>
    <t>[2022-05-19 10:22:00.752]  Event start time:      07/23/2021 00:00:00</t>
  </si>
  <si>
    <t>[2022-05-19 10:22:00.851]  Event stop time:       07/23/2021 00:00:27</t>
  </si>
  <si>
    <t xml:space="preserve">[2022-05-19 10:22:00.901] </t>
  </si>
  <si>
    <t>[2022-05-19 10:22:00.928]          Aligned  Battery  Temperature  Tilt  Heading</t>
  </si>
  <si>
    <t>[2022-05-19 10:22:01.057]  Start:     Y       18.4        3øC       2ø    242ø</t>
  </si>
  <si>
    <t>[2022-05-19 10:22:01.186]  Stop:      Y       18.1        3øC       2ø    252ø</t>
  </si>
  <si>
    <t xml:space="preserve">[2022-05-19 10:22:01.256] </t>
  </si>
  <si>
    <t>[2022-05-19 10:22:01.269]  Event 07</t>
  </si>
  <si>
    <t xml:space="preserve">[2022-05-19 10:22:01.269] </t>
  </si>
  <si>
    <t>[2022-05-19 10:22:01.312]  Scheduled start time:  08/09/2021 00:00:00</t>
  </si>
  <si>
    <t>[2022-05-19 10:22:01.408]  Event start time:      08/09/2021 00:00:00</t>
  </si>
  <si>
    <t>[2022-05-19 10:22:01.505]  Event stop time:       08/09/2021 00:00:27</t>
  </si>
  <si>
    <t xml:space="preserve">[2022-05-19 10:22:01.570] </t>
  </si>
  <si>
    <t>[2022-05-19 10:22:01.600]          Aligned  Battery  Temperature  Tilt  Heading</t>
  </si>
  <si>
    <t>[2022-05-19 10:22:01.730]  Start:     Y       18.2        3øC       2ø    250ø</t>
  </si>
  <si>
    <t>[2022-05-19 10:22:01.858]  Stop:      Y       17.9        3øC       2ø    249ø</t>
  </si>
  <si>
    <t xml:space="preserve">[2022-05-19 10:22:01.906] </t>
  </si>
  <si>
    <t>[2022-05-19 10:22:01.920]  Event 08</t>
  </si>
  <si>
    <t xml:space="preserve">[2022-05-19 10:22:01.939] </t>
  </si>
  <si>
    <t>[2022-05-19 10:22:01.986]  Scheduled start time:  08/26/2021 00:00:00</t>
  </si>
  <si>
    <t>[2022-05-19 10:22:02.080]  Event start time:      08/26/2021 00:00:00</t>
  </si>
  <si>
    <t>[2022-05-19 10:22:02.177]  Event stop time:       08/26/2021 00:00:27</t>
  </si>
  <si>
    <t xml:space="preserve">[2022-05-19 10:22:02.226] </t>
  </si>
  <si>
    <t>[2022-05-19 10:22:02.257]          Aligned  Battery  Temperature  Tilt  Heading</t>
  </si>
  <si>
    <t>[2022-05-19 10:22:02.386]  Start:     Y       18.0        3øC       2ø    181ø</t>
  </si>
  <si>
    <t>[2022-05-19 10:22:02.512]  Stop:      Y       17.6        3øC       1ø    180ø</t>
  </si>
  <si>
    <t xml:space="preserve">[2022-05-19 10:22:02.576] </t>
  </si>
  <si>
    <t>[2022-05-19 10:22:02.576]  Event 09</t>
  </si>
  <si>
    <t xml:space="preserve">[2022-05-19 10:22:02.591] </t>
  </si>
  <si>
    <t>[2022-05-19 10:22:02.638]  Scheduled start time:  09/12/2021 00:00:00</t>
  </si>
  <si>
    <t>[2022-05-19 10:22:02.734]  Event start time:      09/12/2021 00:00:00</t>
  </si>
  <si>
    <t>[2022-05-19 10:22:02.830]  Event stop time:       09/12/2021 00:00:27</t>
  </si>
  <si>
    <t xml:space="preserve">[2022-05-19 10:22:02.880] </t>
  </si>
  <si>
    <t>[2022-05-19 10:22:02.912]          Aligned  Battery  Temperature  Tilt  Heading</t>
  </si>
  <si>
    <t>[2022-05-19 10:22:03.042]  Start:     Y       17.7        2øC       2ø    132ø</t>
  </si>
  <si>
    <t>[2022-05-19 10:22:03.168]  Stop:      Y       17.3        3øC       2ø    133ø</t>
  </si>
  <si>
    <t xml:space="preserve">[2022-05-19 10:22:03.234] </t>
  </si>
  <si>
    <t>[2022-05-19 10:22:03.251]  Event 10</t>
  </si>
  <si>
    <t xml:space="preserve">[2022-05-19 10:22:03.251] </t>
  </si>
  <si>
    <t>[2022-05-19 10:22:03.296]  Scheduled start time:  09/29/2021 00:00:00</t>
  </si>
  <si>
    <t>[2022-05-19 10:22:03.392]  Event start time:      09/29/2021 00:00:00</t>
  </si>
  <si>
    <t>[2022-05-19 10:22:03.488]  Event stop time:       09/29/2021 00:00:27</t>
  </si>
  <si>
    <t xml:space="preserve">[2022-05-19 10:22:03.552] </t>
  </si>
  <si>
    <t>[2022-05-19 10:22:03.584]          Aligned  Battery  Temperature  Tilt  Heading</t>
  </si>
  <si>
    <t>[2022-05-19 10:22:03.712]  Start:     Y       17.4        3øC       2ø     90ø</t>
  </si>
  <si>
    <t>[2022-05-19 10:22:03.841]  Stop:      Y       16.8        3øC       2ø     93ø</t>
  </si>
  <si>
    <t xml:space="preserve">[2022-05-19 10:22:03.890] </t>
  </si>
  <si>
    <t>[2022-05-19 10:22:03.902]  Event 11</t>
  </si>
  <si>
    <t xml:space="preserve">[2022-05-19 10:22:03.922] </t>
  </si>
  <si>
    <t>[2022-05-19 10:22:03.967]  Scheduled start time:  10/16/2021 00:00:00</t>
  </si>
  <si>
    <t>[2022-05-19 10:22:04.063]  Event start time:      10/16/2021 00:00:00</t>
  </si>
  <si>
    <t>[2022-05-19 10:22:04.158]  Event stop time:       10/16/2021 00:00:27</t>
  </si>
  <si>
    <t xml:space="preserve">[2022-05-19 10:22:04.207] </t>
  </si>
  <si>
    <t>[2022-05-19 10:22:04.238]          Aligned  Battery  Temperature  Tilt  Heading</t>
  </si>
  <si>
    <t>[2022-05-19 10:22:04.367]  Start:     Y       17.0        2øC       2ø    191ø</t>
  </si>
  <si>
    <t>[2022-05-19 10:22:04.495]  Stop:      Y       16.5        3øC       2ø    186ø</t>
  </si>
  <si>
    <t xml:space="preserve">[2022-05-19 10:22:04.561] </t>
  </si>
  <si>
    <t>[2022-05-19 10:22:04.561]  Event 12</t>
  </si>
  <si>
    <t xml:space="preserve">[2022-05-19 10:22:04.577] </t>
  </si>
  <si>
    <t>[2022-05-19 10:22:04.624]  Scheduled start time:  11/02/2021 00:00:00</t>
  </si>
  <si>
    <t>[2022-05-19 10:22:04.720]  Event start time:      11/02/2021 00:00:00</t>
  </si>
  <si>
    <t>[2022-05-19 10:22:04.816]  Event stop time:       11/02/2021 00:00:27</t>
  </si>
  <si>
    <t xml:space="preserve">[2022-05-19 10:22:04.865] </t>
  </si>
  <si>
    <t>[2022-05-19 10:22:04.895]          Aligned  Battery  Temperature  Tilt  Heading</t>
  </si>
  <si>
    <t>[2022-05-19 10:22:05.023]  Start:     Y       16.8        3øC       2ø    257ø</t>
  </si>
  <si>
    <t>[2022-05-19 10:22:05.151]  Stop:      Y       16.2        3øC       2ø    261ø</t>
  </si>
  <si>
    <t xml:space="preserve">[2022-05-19 10:22:05.220] </t>
  </si>
  <si>
    <t>[2022-05-19 10:22:05.235]  Event 13</t>
  </si>
  <si>
    <t xml:space="preserve">[2022-05-19 10:22:05.251] </t>
  </si>
  <si>
    <t>[2022-05-19 10:22:05.295]  Scheduled start time:  11/19/2021 00:00:00</t>
  </si>
  <si>
    <t>[2022-05-19 10:22:05.390]  Event start time:      11/19/2021 00:00:00</t>
  </si>
  <si>
    <t>[2022-05-19 10:22:05.487]  Event stop time:       11/19/2021 00:00:27</t>
  </si>
  <si>
    <t xml:space="preserve">[2022-05-19 10:22:05.537] </t>
  </si>
  <si>
    <t>[2022-05-19 10:22:05.567]          Aligned  Battery  Temperature  Tilt  Heading</t>
  </si>
  <si>
    <t>[2022-05-19 10:22:05.695]  Start:     Y       16.6        3øC       2ø      9ø</t>
  </si>
  <si>
    <t>[2022-05-19 10:22:05.823]  Stop:      Y       16.1        3øC       2ø     11ø</t>
  </si>
  <si>
    <t xml:space="preserve">[2022-05-19 10:22:05.888] </t>
  </si>
  <si>
    <t>[2022-05-19 10:22:05.888]  Event 14</t>
  </si>
  <si>
    <t xml:space="preserve">[2022-05-19 10:22:05.904] </t>
  </si>
  <si>
    <t>[2022-05-19 10:22:05.951]  Scheduled start time:  12/06/2021 00:00:00</t>
  </si>
  <si>
    <t>[2022-05-19 10:22:06.047]  Event start time:      12/06/2021 00:00:00</t>
  </si>
  <si>
    <t>[2022-05-19 10:22:06.141]  Event stop time:       12/06/2021 00:00:27</t>
  </si>
  <si>
    <t xml:space="preserve">[2022-05-19 10:22:06.192] </t>
  </si>
  <si>
    <t>[2022-05-19 10:22:06.222]          Aligned  Battery  Temperature  Tilt  Heading</t>
  </si>
  <si>
    <t>[2022-05-19 10:22:06.353]  Start:     Y       16.5        3øC       2ø    294ø</t>
  </si>
  <si>
    <t>[2022-05-19 10:22:06.479]  Stop:      Y       16.1        3øC       2ø    293ø</t>
  </si>
  <si>
    <t xml:space="preserve">[2022-05-19 10:22:06.544] </t>
  </si>
  <si>
    <t>[2022-05-19 10:22:06.560]  Event 15</t>
  </si>
  <si>
    <t xml:space="preserve">[2022-05-19 10:22:06.560] </t>
  </si>
  <si>
    <t>[2022-05-19 10:22:06.607]  Scheduled start time:  12/23/2021 00:00:00</t>
  </si>
  <si>
    <t>[2022-05-19 10:22:06.718]  Event start time:      12/23/2021 00:00:00</t>
  </si>
  <si>
    <t>[2022-05-19 10:22:06.816]  Event stop time:       12/23/2021 00:00:27</t>
  </si>
  <si>
    <t xml:space="preserve">[2022-05-19 10:22:06.863] </t>
  </si>
  <si>
    <t>[2022-05-19 10:22:06.894]          Aligned  Battery  Temperature  Tilt  Heading</t>
  </si>
  <si>
    <t>[2022-05-19 10:22:07.022]  Start:     Y       16.5        3øC       2ø    258ø</t>
  </si>
  <si>
    <t>[2022-05-19 10:22:07.150]  Stop:      Y       16.0        3øC       1ø    256ø</t>
  </si>
  <si>
    <t xml:space="preserve">[2022-05-19 10:22:07.204] </t>
  </si>
  <si>
    <t>[2022-05-19 10:22:07.216]  Event 16</t>
  </si>
  <si>
    <t xml:space="preserve">[2022-05-19 10:22:07.233] </t>
  </si>
  <si>
    <t>[2022-05-19 10:22:07.279]  Scheduled start time:  01/09/2022 00:00:00</t>
  </si>
  <si>
    <t>[2022-05-19 10:22:07.375]  Event start time:      01/09/2022 00:00:00</t>
  </si>
  <si>
    <t>[2022-05-19 10:22:07.455]  Event stop time:       01/09/2022 00:00:27</t>
  </si>
  <si>
    <t xml:space="preserve">[2022-05-19 10:22:07.520] </t>
  </si>
  <si>
    <t>[2022-05-19 10:22:07.553]          Aligned  Battery  Temperature  Tilt  Heading</t>
  </si>
  <si>
    <t>[2022-05-19 10:22:07.679]  Start:     Y       16.3        2øC       2ø    227ø</t>
  </si>
  <si>
    <t>[2022-05-19 10:22:07.808]  Stop:      Y       15.9        3øC       2ø    222ø</t>
  </si>
  <si>
    <t xml:space="preserve">[2022-05-19 10:22:07.856] </t>
  </si>
  <si>
    <t>[2022-05-19 10:22:07.869]  Event 17</t>
  </si>
  <si>
    <t xml:space="preserve">[2022-05-19 10:22:07.887] </t>
  </si>
  <si>
    <t>[2022-05-19 10:22:07.934]  Scheduled start time:  01/26/2022 00:00:00</t>
  </si>
  <si>
    <t>[2022-05-19 10:22:08.031]  Event start time:      01/26/2022 00:00:00</t>
  </si>
  <si>
    <t>[2022-05-19 10:22:08.112]  Event stop time:       01/26/2022 00:00:27</t>
  </si>
  <si>
    <t xml:space="preserve">[2022-05-19 10:22:08.175] </t>
  </si>
  <si>
    <t>[2022-05-19 10:22:08.205]          Aligned  Battery  Temperature  Tilt  Heading</t>
  </si>
  <si>
    <t>[2022-05-19 10:22:08.334]  Start:     Y       16.1        2øC       2ø    234ø</t>
  </si>
  <si>
    <t>[2022-05-19 10:22:08.462]  Stop:      Y       15.6        3øC       2ø    237ø</t>
  </si>
  <si>
    <t xml:space="preserve">[2022-05-19 10:22:08.512] </t>
  </si>
  <si>
    <t>[2022-05-19 10:22:08.526]  Event 18</t>
  </si>
  <si>
    <t xml:space="preserve">[2022-05-19 10:22:08.544] </t>
  </si>
  <si>
    <t>[2022-05-19 10:22:08.590]  Scheduled start time:  02/12/2022 00:00:00</t>
  </si>
  <si>
    <t>[2022-05-19 10:22:08.686]  Event start time:      02/12/2022 00:00:00</t>
  </si>
  <si>
    <t>[2022-05-19 10:22:08.767]  Event stop time:       02/12/2022 00:00:27</t>
  </si>
  <si>
    <t xml:space="preserve">[2022-05-19 10:22:08.832] </t>
  </si>
  <si>
    <t>[2022-05-19 10:22:08.861]          Aligned  Battery  Temperature  Tilt  Heading</t>
  </si>
  <si>
    <t>[2022-05-19 10:22:08.991]  Start:     Y       15.9        3øC       2ø    206ø</t>
  </si>
  <si>
    <t>[2022-05-19 10:22:09.119]  Stop:      Y       15.4        3øC       2ø    207ø</t>
  </si>
  <si>
    <t xml:space="preserve">[2022-05-19 10:22:09.171] </t>
  </si>
  <si>
    <t>[2022-05-19 10:22:09.182]  Event 19</t>
  </si>
  <si>
    <t xml:space="preserve">[2022-05-19 10:22:09.201] </t>
  </si>
  <si>
    <t>[2022-05-19 10:22:09.246]  Scheduled start time:  03/01/2022 00:00:00</t>
  </si>
  <si>
    <t>[2022-05-19 10:22:09.341]  Event start time:      03/01/2022 00:00:00</t>
  </si>
  <si>
    <t>[2022-05-19 10:22:09.421]  Event stop time:       03/01/2022 00:00:27</t>
  </si>
  <si>
    <t xml:space="preserve">[2022-05-19 10:22:09.487] </t>
  </si>
  <si>
    <t>[2022-05-19 10:22:09.517]          Aligned  Battery  Temperature  Tilt  Heading</t>
  </si>
  <si>
    <t>[2022-05-19 10:22:09.647]  Start:     Y       15.6        3øC       2ø    172ø</t>
  </si>
  <si>
    <t>[2022-05-19 10:22:09.773]  Stop:      Y       15.1        3øC       2ø    179ø</t>
  </si>
  <si>
    <t xml:space="preserve">[2022-05-19 10:22:09.824] </t>
  </si>
  <si>
    <t>[2022-05-19 10:22:09.837]  Event 20</t>
  </si>
  <si>
    <t xml:space="preserve">[2022-05-19 10:22:09.855] </t>
  </si>
  <si>
    <t>[2022-05-19 10:22:09.902]  Scheduled start time:  03/18/2022 00:00:00</t>
  </si>
  <si>
    <t>[2022-05-19 10:22:09.998]  Event start time:      03/18/2022 00:00:00</t>
  </si>
  <si>
    <t>[2022-05-19 10:22:10.094]  Event stop time:       03/18/2022 00:00:27</t>
  </si>
  <si>
    <t xml:space="preserve">[2022-05-19 10:22:10.143] </t>
  </si>
  <si>
    <t>[2022-05-19 10:22:10.172]          Aligned  Battery  Temperature  Tilt  Heading</t>
  </si>
  <si>
    <t>[2022-05-19 10:22:10.302]  Start:     Y       15.3        3øC       2ø    238ø</t>
  </si>
  <si>
    <t>[2022-05-19 10:22:10.431]  Stop:      Y       14.8        3øC       2ø    232ø</t>
  </si>
  <si>
    <t xml:space="preserve">[2022-05-19 10:22:10.495] </t>
  </si>
  <si>
    <t>[2022-05-19 10:22:10.495]  Event 21</t>
  </si>
  <si>
    <t xml:space="preserve">[2022-05-19 10:22:10.510] </t>
  </si>
  <si>
    <t>[2022-05-19 10:22:10.557]  Scheduled start time:  04/04/2022 00:00:00</t>
  </si>
  <si>
    <t>[2022-05-19 10:22:10.651]  Event start time:      04/04/2022 00:00:00</t>
  </si>
  <si>
    <t>[2022-05-19 10:22:10.746]  Event stop time:       04/04/2022 00:00:27</t>
  </si>
  <si>
    <t xml:space="preserve">[2022-05-19 10:22:10.796] </t>
  </si>
  <si>
    <t>[2022-05-19 10:22:10.827]          Aligned  Battery  Temperature  Tilt  Heading</t>
  </si>
  <si>
    <t>[2022-05-19 10:22:10.959]  Start:     Y       15.0        3øC       2ø    331ø</t>
  </si>
  <si>
    <t>[2022-05-19 10:22:11.085]  Stop:      Y       14.6        3øC       2ø    326ø</t>
  </si>
  <si>
    <t xml:space="preserve">[2022-05-19 10:22:11.150] </t>
  </si>
  <si>
    <t>[2022-05-19 10:22:11.150]  Event 22</t>
  </si>
  <si>
    <t xml:space="preserve">[2022-05-19 10:22:11.164] </t>
  </si>
  <si>
    <t>[2022-05-19 10:22:11.211]  Scheduled start time:  04/21/2022 00:00:00</t>
  </si>
  <si>
    <t>[2022-05-19 10:22:11.308]  Event start time:      04/21/2022 00:00:00</t>
  </si>
  <si>
    <t>[2022-05-19 10:22:11.405]  Event stop time:       04/21/2022 00:00:27</t>
  </si>
  <si>
    <t xml:space="preserve">[2022-05-19 10:22:11.454] </t>
  </si>
  <si>
    <t>[2022-05-19 10:22:11.484]          Aligned  Battery  Temperature  Tilt  Heading</t>
  </si>
  <si>
    <t>[2022-05-19 10:22:11.613]  Start:     Y       14.8        3øC       2ø     41ø</t>
  </si>
  <si>
    <t>[2022-05-19 10:22:11.739]  Stop:      Y       14.3        3øC       2ø     44ø</t>
  </si>
  <si>
    <t xml:space="preserve">[2022-05-19 10:22:11.803] </t>
  </si>
  <si>
    <t>[2022-05-19 10:22:11.803]  TILT DATA</t>
  </si>
  <si>
    <t>[2022-05-19 10:22:11.819]  _________</t>
  </si>
  <si>
    <t xml:space="preserve">[2022-05-19 10:22:11.835]   </t>
  </si>
  <si>
    <t xml:space="preserve">[2022-05-19 10:22:11.882]  Tilt sample interval:  1440 minutes            </t>
  </si>
  <si>
    <t xml:space="preserve">[2022-05-19 10:22:11.930] </t>
  </si>
  <si>
    <t>[2022-05-19 10:22:11.946]  Event  Tilt  Heading</t>
  </si>
  <si>
    <t xml:space="preserve">[2022-05-19 10:22:11.979] </t>
  </si>
  <si>
    <t>[2022-05-19 10:22:12.011]    01    2øT   238øH</t>
  </si>
  <si>
    <t>[2022-05-19 10:22:12.044]    01    2øT   207øH</t>
  </si>
  <si>
    <t>[2022-05-19 10:22:12.092]    01    2øT   217øH</t>
  </si>
  <si>
    <t>[2022-05-19 10:22:12.140]    01    2øT   199øH</t>
  </si>
  <si>
    <t>[2022-05-19 10:22:12.189]    01    2øT   191øH</t>
  </si>
  <si>
    <t>[2022-05-19 10:22:12.220]    01    2øT   191øH</t>
  </si>
  <si>
    <t>[2022-05-19 10:22:12.268]    01    2øT   210øH</t>
  </si>
  <si>
    <t>[2022-05-19 10:22:12.317]    01    3øT   198øH</t>
  </si>
  <si>
    <t>[2022-05-19 10:22:12.364]    01    3øT   221øH</t>
  </si>
  <si>
    <t>[2022-05-19 10:22:12.412]    01    3øT   216øH</t>
  </si>
  <si>
    <t>[2022-05-19 10:22:12.443]    01    2øT   218øH</t>
  </si>
  <si>
    <t>[2022-05-19 10:22:12.491]    01    4øT   252øH</t>
  </si>
  <si>
    <t>[2022-05-19 10:22:12.540]    01    3øT   233øH</t>
  </si>
  <si>
    <t>[2022-05-19 10:22:12.588]    01    4øT   257øH</t>
  </si>
  <si>
    <t>[2022-05-19 10:22:12.636]    01    2øT   219øH</t>
  </si>
  <si>
    <t>[2022-05-19 10:22:12.668]    01    3øT   253øH</t>
  </si>
  <si>
    <t>[2022-05-19 10:22:12.718]    02    3øT   256øH</t>
  </si>
  <si>
    <t>[2022-05-19 10:22:12.765]    02    2øT   220øH</t>
  </si>
  <si>
    <t>[2022-05-19 10:22:12.811]    02    2øT   271øH</t>
  </si>
  <si>
    <t>[2022-05-19 10:22:12.860]    02    2øT   235øH</t>
  </si>
  <si>
    <t>[2022-05-19 10:22:12.892]    02    2øT   229øH</t>
  </si>
  <si>
    <t>[2022-05-19 10:22:12.939]    02    2øT   219øH</t>
  </si>
  <si>
    <t>[2022-05-19 10:22:12.988]    02    2øT   211øH</t>
  </si>
  <si>
    <t>[2022-05-19 10:22:13.035]    02    2øT   255øH</t>
  </si>
  <si>
    <t>[2022-05-19 10:22:13.084]    02    2øT   220øH</t>
  </si>
  <si>
    <t>[2022-05-19 10:22:13.115]    02    2øT   247øH</t>
  </si>
  <si>
    <t>[2022-05-19 10:22:13.164]    02    2øT   231øH</t>
  </si>
  <si>
    <t>[2022-05-19 10:22:13.212]    02    2øT   239øH</t>
  </si>
  <si>
    <t>[2022-05-19 10:22:13.261]    02    2øT   226øH</t>
  </si>
  <si>
    <t>[2022-05-19 10:22:13.308]    02    2øT   240øH</t>
  </si>
  <si>
    <t>[2022-05-19 10:22:13.340]    02    2øT   161øH</t>
  </si>
  <si>
    <t>[2022-05-19 10:22:13.387]    02    2øT   193øH</t>
  </si>
  <si>
    <t>[2022-05-19 10:22:13.435]    03    2øT   200øH</t>
  </si>
  <si>
    <t>[2022-05-19 10:22:13.486]    03    2øT   169øH</t>
  </si>
  <si>
    <t>[2022-05-19 10:22:13.532]    03    2øT   181øH</t>
  </si>
  <si>
    <t>[2022-05-19 10:22:13.564]    03    2øT   171øH</t>
  </si>
  <si>
    <t>[2022-05-19 10:22:13.612]    03    2øT   187øH</t>
  </si>
  <si>
    <t>[2022-05-19 10:22:13.659]    03    2øT   195øH</t>
  </si>
  <si>
    <t>[2022-05-19 10:22:13.707]    03    2øT   208øH</t>
  </si>
  <si>
    <t>[2022-05-19 10:22:13.756]    03    2øT   202øH</t>
  </si>
  <si>
    <t>[2022-05-19 10:22:13.787]    03    2øT   187øH</t>
  </si>
  <si>
    <t>[2022-05-19 10:22:13.836]    03    2øT   170øH</t>
  </si>
  <si>
    <t>[2022-05-19 10:22:13.885]    03    2øT   187øH</t>
  </si>
  <si>
    <t>[2022-05-19 10:22:13.931]    03    2øT   227øH</t>
  </si>
  <si>
    <t>[2022-05-19 10:22:13.979]    03    2øT   192øH</t>
  </si>
  <si>
    <t>[2022-05-19 10:22:14.011]    03    2øT   218øH</t>
  </si>
  <si>
    <t>[2022-05-19 10:22:14.059]    03    2øT   199øH</t>
  </si>
  <si>
    <t>[2022-05-19 10:22:14.107]    03    2øT   212øH</t>
  </si>
  <si>
    <t>[2022-05-19 10:22:14.156]    04    2øT   198øH</t>
  </si>
  <si>
    <t>[2022-05-19 10:22:14.205]    04    2øT   196øH</t>
  </si>
  <si>
    <t>[2022-05-19 10:22:14.235]    04    2øT   206øH</t>
  </si>
  <si>
    <t>[2022-05-19 10:22:14.284]    04    2øT   207øH</t>
  </si>
  <si>
    <t>[2022-05-19 10:22:14.331]    04    2øT   184øH</t>
  </si>
  <si>
    <t>[2022-05-19 10:22:14.380]    04    2øT   190øH</t>
  </si>
  <si>
    <t>[2022-05-19 10:22:14.428]    04    2øT   171øH</t>
  </si>
  <si>
    <t>[2022-05-19 10:22:14.461]    04    2øT   190øH</t>
  </si>
  <si>
    <t>[2022-05-19 10:22:14.507]    04    2øT   178øH</t>
  </si>
  <si>
    <t>[2022-05-19 10:22:14.554]    04    2øT   172øH</t>
  </si>
  <si>
    <t>[2022-05-19 10:22:14.603]    04    2øT   182øH</t>
  </si>
  <si>
    <t>[2022-05-19 10:22:14.652]    04    2øT   183øH</t>
  </si>
  <si>
    <t>[2022-05-19 10:22:14.684]    04    2øT   179øH</t>
  </si>
  <si>
    <t>[2022-05-19 10:22:14.731]    04    2øT   200øH</t>
  </si>
  <si>
    <t>[2022-05-19 10:22:14.780]    04    2øT   201øH</t>
  </si>
  <si>
    <t>[2022-05-19 10:22:14.828]    04    2øT   214øH</t>
  </si>
  <si>
    <t>[2022-05-19 10:22:14.876]    05    2øT   206øH</t>
  </si>
  <si>
    <t>[2022-05-19 10:22:14.907]    05    2øT   212øH</t>
  </si>
  <si>
    <t>[2022-05-19 10:22:14.955]    05    2øT   204øH</t>
  </si>
  <si>
    <t>[2022-05-19 10:22:15.002]    05    2øT   231øH</t>
  </si>
  <si>
    <t>[2022-05-19 10:22:15.052]    05    2øT   215øH</t>
  </si>
  <si>
    <t>[2022-05-19 10:22:15.083]    05    2øT   203øH</t>
  </si>
  <si>
    <t>[2022-05-19 10:22:15.131]    05    2øT   218øH</t>
  </si>
  <si>
    <t>[2022-05-19 10:22:15.178]    05    2øT   192øH</t>
  </si>
  <si>
    <t>[2022-05-19 10:22:15.227]    05    2øT   178øH</t>
  </si>
  <si>
    <t>[2022-05-19 10:22:15.276]    05    2øT   157øH</t>
  </si>
  <si>
    <t>[2022-05-19 10:22:15.308]    05    2øT   214øH</t>
  </si>
  <si>
    <t>[2022-05-19 10:22:15.355]    05    2øT   151øH</t>
  </si>
  <si>
    <t>[2022-05-19 10:22:15.403]    05    2øT   211øH</t>
  </si>
  <si>
    <t>[2022-05-19 10:22:15.452]    05    2øT   222øH</t>
  </si>
  <si>
    <t>[2022-05-19 10:22:15.499]    05    2øT   244øH</t>
  </si>
  <si>
    <t>[2022-05-19 10:22:15.531]    05    2øT   232øH</t>
  </si>
  <si>
    <t>[2022-05-19 10:22:15.578]    06    2øT   227øH</t>
  </si>
  <si>
    <t>[2022-05-19 10:22:15.626]    06    2øT   233øH</t>
  </si>
  <si>
    <t>[2022-05-19 10:22:15.675]    06    2øT   229øH</t>
  </si>
  <si>
    <t>[2022-05-19 10:22:15.723]    06    2øT   200øH</t>
  </si>
  <si>
    <t>[2022-05-19 10:22:15.754]    06    2øT   220øH</t>
  </si>
  <si>
    <t>[2022-05-19 10:22:15.802]    06    2øT   194øH</t>
  </si>
  <si>
    <t>[2022-05-19 10:22:15.851]    06    2øT   212øH</t>
  </si>
  <si>
    <t>[2022-05-19 10:22:15.897]    06    2øT   198øH</t>
  </si>
  <si>
    <t>[2022-05-19 10:22:15.948]    06    2øT   237øH</t>
  </si>
  <si>
    <t>[2022-05-19 10:22:15.979]    06    2øT   200øH</t>
  </si>
  <si>
    <t>[2022-05-19 10:22:16.026]    06    2øT   226øH</t>
  </si>
  <si>
    <t>[2022-05-19 10:22:16.074]    06    2øT   219øH</t>
  </si>
  <si>
    <t>[2022-05-19 10:22:16.121]    06    2øT   224øH</t>
  </si>
  <si>
    <t>[2022-05-19 10:22:16.170]    06    2øT   213øH</t>
  </si>
  <si>
    <t>[2022-05-19 10:22:16.201]    06    2øT   239øH</t>
  </si>
  <si>
    <t>[2022-05-19 10:22:16.252]    06    2øT   234øH</t>
  </si>
  <si>
    <t>[2022-05-19 10:22:16.298]    07    2øT   241øH</t>
  </si>
  <si>
    <t>[2022-05-19 10:22:16.347]    07    2øT   235øH</t>
  </si>
  <si>
    <t>[2022-05-19 10:22:16.395]    07    2øT   231øH</t>
  </si>
  <si>
    <t>[2022-05-19 10:22:16.426]    07    2øT   190øH</t>
  </si>
  <si>
    <t>[2022-05-19 10:22:16.474]    07    2øT   219øH</t>
  </si>
  <si>
    <t>[2022-05-19 10:22:16.522]    07    2øT   358øH</t>
  </si>
  <si>
    <t>[2022-05-19 10:22:16.571]    07    2øT   223øH</t>
  </si>
  <si>
    <t>[2022-05-19 10:22:16.619]    07    2øT   225øH</t>
  </si>
  <si>
    <t>[2022-05-19 10:22:16.651]    07    2øT   254øH</t>
  </si>
  <si>
    <t>[2022-05-19 10:22:16.698]    07    2øT   239øH</t>
  </si>
  <si>
    <t>[2022-05-19 10:22:16.746]    07    2øT   254øH</t>
  </si>
  <si>
    <t>[2022-05-19 10:22:16.795]    07    2øT   225øH</t>
  </si>
  <si>
    <t>[2022-05-19 10:22:16.843]    07    2øT   310øH</t>
  </si>
  <si>
    <t>[2022-05-19 10:22:16.875]    07    2øT   248øH</t>
  </si>
  <si>
    <t>[2022-05-19 10:22:16.922]    07    2øT   282øH</t>
  </si>
  <si>
    <t>[2022-05-19 10:22:16.970]    07    2øT   322øH</t>
  </si>
  <si>
    <t>[2022-05-19 10:22:17.018]    08    2øT   347øH</t>
  </si>
  <si>
    <t>[2022-05-19 10:22:17.066]    08    2øT   144øH</t>
  </si>
  <si>
    <t>[2022-05-19 10:22:17.098]    08    2øT    51øH</t>
  </si>
  <si>
    <t>[2022-05-19 10:22:17.147]    08    2øT   140øH</t>
  </si>
  <si>
    <t>[2022-05-19 10:22:17.195]    08    2øT    86øH</t>
  </si>
  <si>
    <t>[2022-05-19 10:22:17.241]    08    2øT   167øH</t>
  </si>
  <si>
    <t>[2022-05-19 10:22:17.289]    08    2øT   197øH</t>
  </si>
  <si>
    <t>[2022-05-19 10:22:17.322]    08    2øT   119øH</t>
  </si>
  <si>
    <t>[2022-05-19 10:22:17.370]    08    2øT   195øH</t>
  </si>
  <si>
    <t>[2022-05-19 10:22:17.418]    08    2øT   110øH</t>
  </si>
  <si>
    <t>[2022-05-19 10:22:17.467]    08    2øT   191øH</t>
  </si>
  <si>
    <t>[2022-05-19 10:22:17.499]    08    2øT   164øH</t>
  </si>
  <si>
    <t>[2022-05-19 10:22:17.549]    08    2øT   162øH</t>
  </si>
  <si>
    <t>[2022-05-19 10:22:17.594]    08    2øT   151øH</t>
  </si>
  <si>
    <t>[2022-05-19 10:22:17.642]    08    2øT   137øH</t>
  </si>
  <si>
    <t>[2022-05-19 10:22:17.690]    08    2øT   109øH</t>
  </si>
  <si>
    <t>[2022-05-19 10:22:17.721]    09    2øT   102øH</t>
  </si>
  <si>
    <t>[2022-05-19 10:22:17.770]    09    2øT   143øH</t>
  </si>
  <si>
    <t>[2022-05-19 10:22:17.818]    09    2øT   120øH</t>
  </si>
  <si>
    <t>[2022-05-19 10:22:17.866]    09    2øT   143øH</t>
  </si>
  <si>
    <t>[2022-05-19 10:22:17.915]    09    2øT   147øH</t>
  </si>
  <si>
    <t>[2022-05-19 10:22:17.947]    09    2øT   181øH</t>
  </si>
  <si>
    <t>[2022-05-19 10:22:17.993]    09    2øT   148øH</t>
  </si>
  <si>
    <t>[2022-05-19 10:22:18.042]    09    2øT   182øH</t>
  </si>
  <si>
    <t>[2022-05-19 10:22:18.090]    09    2øT   165øH</t>
  </si>
  <si>
    <t>[2022-05-19 10:22:18.137]    09    2øT   140øH</t>
  </si>
  <si>
    <t>[2022-05-19 10:22:18.170]    09    2øT   143øH</t>
  </si>
  <si>
    <t>[2022-05-19 10:22:18.218]    09    2øT   116øH</t>
  </si>
  <si>
    <t>[2022-05-19 10:22:18.265]    09    2øT   128øH</t>
  </si>
  <si>
    <t>[2022-05-19 10:22:18.315]    09    3øT   127øH</t>
  </si>
  <si>
    <t>[2022-05-19 10:22:18.362]    09    2øT   111øH</t>
  </si>
  <si>
    <t>[2022-05-19 10:22:18.393]    09    3øT   130øH</t>
  </si>
  <si>
    <t>[2022-05-19 10:22:18.442]    10    2øT   138øH</t>
  </si>
  <si>
    <t>[2022-05-19 10:22:18.489]    10    2øT    97øH</t>
  </si>
  <si>
    <t>[2022-05-19 10:22:18.537]    10    2øT   143øH</t>
  </si>
  <si>
    <t>[2022-05-19 10:22:18.587]    10    1øT   285øH</t>
  </si>
  <si>
    <t>[2022-05-19 10:22:18.619]    10    2øT   207øH</t>
  </si>
  <si>
    <t>[2022-05-19 10:22:18.666]    10    2øT   151øH</t>
  </si>
  <si>
    <t>[2022-05-19 10:22:18.713]    10    2øT   207øH</t>
  </si>
  <si>
    <t>[2022-05-19 10:22:18.761]    10    2øT   224øH</t>
  </si>
  <si>
    <t>[2022-05-19 10:22:18.810]    10    2øT   241øH</t>
  </si>
  <si>
    <t>[2022-05-19 10:22:18.842]    10    2øT   224øH</t>
  </si>
  <si>
    <t>[2022-05-19 10:22:18.889]    10    2øT   191øH</t>
  </si>
  <si>
    <t>[2022-05-19 10:22:18.937]    10    2øT   161øH</t>
  </si>
  <si>
    <t>[2022-05-19 10:22:18.986]    10    2øT   120øH</t>
  </si>
  <si>
    <t>[2022-05-19 10:22:19.036]    10    2øT    87øH</t>
  </si>
  <si>
    <t>[2022-05-19 10:22:19.067]    10    2øT    83øH</t>
  </si>
  <si>
    <t>[2022-05-19 10:22:19.113]    10    2øT   134øH</t>
  </si>
  <si>
    <t>[2022-05-19 10:22:19.161]    11    2øT   218øH</t>
  </si>
  <si>
    <t>[2022-05-19 10:22:19.210]    11    2øT   214øH</t>
  </si>
  <si>
    <t>[2022-05-19 10:22:19.258]    11    2øT   245øH</t>
  </si>
  <si>
    <t>[2022-05-19 10:22:19.289]    11    2øT   252øH</t>
  </si>
  <si>
    <t>[2022-05-19 10:22:19.337]    11    2øT   265øH</t>
  </si>
  <si>
    <t>[2022-05-19 10:22:19.387]    11    1øT   257øH</t>
  </si>
  <si>
    <t>[2022-05-19 10:22:19.434]    11    2øT   272øH</t>
  </si>
  <si>
    <t>[2022-05-19 10:22:19.481]    11    2øT   273øH</t>
  </si>
  <si>
    <t>[2022-05-19 10:22:19.514]    11    2øT   302øH</t>
  </si>
  <si>
    <t>[2022-05-19 10:22:19.561]    11    2øT   287øH</t>
  </si>
  <si>
    <t>[2022-05-19 10:22:19.609]    11    2øT     8øH</t>
  </si>
  <si>
    <t>[2022-05-19 10:22:19.658]    11    2øT   273øH</t>
  </si>
  <si>
    <t>[2022-05-19 10:22:19.705]    11    2øT   258øH</t>
  </si>
  <si>
    <t>[2022-05-19 10:22:19.736]    11    2øT   272øH</t>
  </si>
  <si>
    <t>[2022-05-19 10:22:19.787]    11    2øT   255øH</t>
  </si>
  <si>
    <t>[2022-05-19 10:22:19.832]    11    2øT   256øH</t>
  </si>
  <si>
    <t>[2022-05-19 10:22:19.881]    12    2øT   277øH</t>
  </si>
  <si>
    <t>[2022-05-19 10:22:19.929]    12    2øT   253øH</t>
  </si>
  <si>
    <t>[2022-05-19 10:22:19.961]    12    2øT   292øH</t>
  </si>
  <si>
    <t>[2022-05-19 10:22:20.010]    12    2øT   275øH</t>
  </si>
  <si>
    <t>[2022-05-19 10:22:20.057]    12    2øT    20øH</t>
  </si>
  <si>
    <t>[2022-05-19 10:22:20.105]    12    2øT    19øH</t>
  </si>
  <si>
    <t>[2022-05-19 10:22:20.154]    12    2øT    45øH</t>
  </si>
  <si>
    <t>[2022-05-19 10:22:20.185]    12    2øT    25øH</t>
  </si>
  <si>
    <t>[2022-05-19 10:22:20.233]    12    2øT   358øH</t>
  </si>
  <si>
    <t>[2022-05-19 10:22:20.280]    12    2øT    11øH</t>
  </si>
  <si>
    <t>[2022-05-19 10:22:20.327]    12    2øT    15øH</t>
  </si>
  <si>
    <t>[2022-05-19 10:22:20.376]    12    2øT    47øH</t>
  </si>
  <si>
    <t>[2022-05-19 10:22:20.410]    12    2øT   288øH</t>
  </si>
  <si>
    <t>[2022-05-19 10:22:20.458]    12    2øT   314øH</t>
  </si>
  <si>
    <t>[2022-05-19 10:22:20.504]    12    2øT   326øH</t>
  </si>
  <si>
    <t>[2022-05-19 10:22:20.553]    12    2øT   358øH</t>
  </si>
  <si>
    <t>[2022-05-19 10:22:20.602]    13    2øT    10øH</t>
  </si>
  <si>
    <t>[2022-05-19 10:22:20.633]    13    2øT    29øH</t>
  </si>
  <si>
    <t>[2022-05-19 10:22:20.680]    13    2øT    30øH</t>
  </si>
  <si>
    <t>[2022-05-19 10:22:20.728]    13    2øT    35øH</t>
  </si>
  <si>
    <t>[2022-05-19 10:22:20.776]    13    2øT    41øH</t>
  </si>
  <si>
    <t>[2022-05-19 10:22:20.823]    13    2øT    44øH</t>
  </si>
  <si>
    <t>[2022-05-19 10:22:20.855]    13    2øT     7øH</t>
  </si>
  <si>
    <t>[2022-05-19 10:22:20.904]    13    2øT   309øH</t>
  </si>
  <si>
    <t>[2022-05-19 10:22:20.953]    13    2øT   319øH</t>
  </si>
  <si>
    <t>[2022-05-19 10:22:21.003]    13    2øT   329øH</t>
  </si>
  <si>
    <t>[2022-05-19 10:22:21.049]    13    2øT   296øH</t>
  </si>
  <si>
    <t>[2022-05-19 10:22:21.080]    13    2øT   311øH</t>
  </si>
  <si>
    <t>[2022-05-19 10:22:21.128]    13    2øT   283øH</t>
  </si>
  <si>
    <t>[2022-05-19 10:22:21.176]    13    2øT   286øH</t>
  </si>
  <si>
    <t>[2022-05-19 10:22:21.224]    13    2øT   259øH</t>
  </si>
  <si>
    <t>[2022-05-19 10:22:21.273]    13    2øT   267øH</t>
  </si>
  <si>
    <t>[2022-05-19 10:22:21.304]    14    2øT   296øH</t>
  </si>
  <si>
    <t>[2022-05-19 10:22:21.353]    14    2øT   280øH</t>
  </si>
  <si>
    <t>[2022-05-19 10:22:21.401]    14    2øT   287øH</t>
  </si>
  <si>
    <t>[2022-05-19 10:22:21.447]    14    2øT   292øH</t>
  </si>
  <si>
    <t>[2022-05-19 10:22:21.497]    14    2øT   322øH</t>
  </si>
  <si>
    <t>[2022-05-19 10:22:21.528]    14    2øT   302øH</t>
  </si>
  <si>
    <t>[2022-05-19 10:22:21.576]    14    2øT   284øH</t>
  </si>
  <si>
    <t>[2022-05-19 10:22:21.624]    14    2øT   280øH</t>
  </si>
  <si>
    <t>[2022-05-19 10:22:21.672]    14    2øT   279øH</t>
  </si>
  <si>
    <t>[2022-05-19 10:22:21.720]    14    2øT   299øH</t>
  </si>
  <si>
    <t>[2022-05-19 10:22:21.753]    14    2øT   235øH</t>
  </si>
  <si>
    <t>[2022-05-19 10:22:21.800]    14    2øT   208øH</t>
  </si>
  <si>
    <t>[2022-05-19 10:22:21.848]    14    2øT   234øH</t>
  </si>
  <si>
    <t>[2022-05-19 10:22:21.896]    14    2øT   148øH</t>
  </si>
  <si>
    <t>[2022-05-19 10:22:21.945]    14    2øT     5øH</t>
  </si>
  <si>
    <t>[2022-05-19 10:22:21.978]    14    2øT   236øH</t>
  </si>
  <si>
    <t>[2022-05-19 10:22:22.024]    15    2øT   256øH</t>
  </si>
  <si>
    <t>[2022-05-19 10:22:22.072]    15    2øT   280øH</t>
  </si>
  <si>
    <t>[2022-05-19 10:22:22.120]    15    2øT   254øH</t>
  </si>
  <si>
    <t>[2022-05-19 10:22:22.170]    15    2øT   262øH</t>
  </si>
  <si>
    <t>[2022-05-19 10:22:22.200]    15    2øT   245øH</t>
  </si>
  <si>
    <t>[2022-05-19 10:22:22.247]    15    2øT   242øH</t>
  </si>
  <si>
    <t>[2022-05-19 10:22:22.295]    15    2øT   224øH</t>
  </si>
  <si>
    <t>[2022-05-19 10:22:22.344]    15    1øT   200øH</t>
  </si>
  <si>
    <t>[2022-05-19 10:22:22.392]    15    2øT   224øH</t>
  </si>
  <si>
    <t>[2022-05-19 10:22:22.423]    15    2øT   170øH</t>
  </si>
  <si>
    <t>[2022-05-19 10:22:22.471]    15    2øT   249øH</t>
  </si>
  <si>
    <t>[2022-05-19 10:22:22.518]    15    2øT   190øH</t>
  </si>
  <si>
    <t>[2022-05-19 10:22:22.568]    15    1øT   165øH</t>
  </si>
  <si>
    <t>[2022-05-19 10:22:22.615]    15    2øT   210øH</t>
  </si>
  <si>
    <t>[2022-05-19 10:22:22.648]    15    2øT   244øH</t>
  </si>
  <si>
    <t>[2022-05-19 10:22:22.697]    15    2øT   201øH</t>
  </si>
  <si>
    <t>[2022-05-19 10:22:22.744]    16    2øT   154øH</t>
  </si>
  <si>
    <t>[2022-05-19 10:22:22.791]    16    2øT   232øH</t>
  </si>
  <si>
    <t>[2022-05-19 10:22:22.840]    16    2øT   131øH</t>
  </si>
  <si>
    <t>[2022-05-19 10:22:22.888]    16    2øT   183øH</t>
  </si>
  <si>
    <t>[2022-05-19 10:22:22.921]    16    2øT   138øH</t>
  </si>
  <si>
    <t>[2022-05-19 10:22:22.969]    16    2øT   132øH</t>
  </si>
  <si>
    <t>[2022-05-19 10:22:23.017]    16    2øT    88øH</t>
  </si>
  <si>
    <t>[2022-05-19 10:22:23.065]    16    2øT   192øH</t>
  </si>
  <si>
    <t>[2022-05-19 10:22:23.112]    16    2øT   133øH</t>
  </si>
  <si>
    <t>[2022-05-19 10:22:23.144]    16    1øT   131øH</t>
  </si>
  <si>
    <t>[2022-05-19 10:22:23.192]    16    2øT    47øH</t>
  </si>
  <si>
    <t>[2022-05-19 10:22:23.239]    16    2øT     1øH</t>
  </si>
  <si>
    <t>[2022-05-19 10:22:23.288]    16    2øT   169øH</t>
  </si>
  <si>
    <t>[2022-05-19 10:22:23.321]    16    2øT   326øH</t>
  </si>
  <si>
    <t>[2022-05-19 10:22:23.369]    16    2øT   178øH</t>
  </si>
  <si>
    <t>[2022-05-19 10:22:23.416]    16    2øT   289øH</t>
  </si>
  <si>
    <t>[2022-05-19 10:22:23.463]    17    2øT   255øH</t>
  </si>
  <si>
    <t>[2022-05-19 10:22:23.511]    17    2øT   237øH</t>
  </si>
  <si>
    <t>[2022-05-19 10:22:23.559]    17    2øT   214øH</t>
  </si>
  <si>
    <t>[2022-05-19 10:22:23.590]    17    2øT   242øH</t>
  </si>
  <si>
    <t>[2022-05-19 10:22:23.638]    17    2øT   209øH</t>
  </si>
  <si>
    <t>[2022-05-19 10:22:23.687]    17    2øT   236øH</t>
  </si>
  <si>
    <t>[2022-05-19 10:22:23.740]    17    2øT   220øH</t>
  </si>
  <si>
    <t>[2022-05-19 10:22:23.786]    17    2øT   217øH</t>
  </si>
  <si>
    <t>[2022-05-19 10:22:23.815]    17    2øT   226øH</t>
  </si>
  <si>
    <t>[2022-05-19 10:22:23.864]    17    2øT   198øH</t>
  </si>
  <si>
    <t>[2022-05-19 10:22:23.911]    17    2øT   203øH</t>
  </si>
  <si>
    <t>[2022-05-19 10:22:23.960]    17    2øT   197øH</t>
  </si>
  <si>
    <t>[2022-05-19 10:22:24.007]    17    2øT   200øH</t>
  </si>
  <si>
    <t>[2022-05-19 10:22:24.039]    17    2øT   163øH</t>
  </si>
  <si>
    <t>[2022-05-19 10:22:24.090]    17    2øT   190øH</t>
  </si>
  <si>
    <t>[2022-05-19 10:22:24.137]    17    2øT   195øH</t>
  </si>
  <si>
    <t>[2022-05-19 10:22:24.184]    18    2øT   216øH</t>
  </si>
  <si>
    <t>[2022-05-19 10:22:24.231]    18    2øT   201øH</t>
  </si>
  <si>
    <t>[2022-05-19 10:22:24.263]    18    2øT   216øH</t>
  </si>
  <si>
    <t>[2022-05-19 10:22:24.311]    18    2øT   190øH</t>
  </si>
  <si>
    <t>[2022-05-19 10:22:24.359]    18    2øT   179øH</t>
  </si>
  <si>
    <t>[2022-05-19 10:22:24.407]    18    2øT   190øH</t>
  </si>
  <si>
    <t>[2022-05-19 10:22:24.454]    18    2øT   191øH</t>
  </si>
  <si>
    <t>[2022-05-19 10:22:24.487]    18    2øT   187øH</t>
  </si>
  <si>
    <t>[2022-05-19 10:22:24.536]    18    2øT   175øH</t>
  </si>
  <si>
    <t>[2022-05-19 10:22:24.582]    18    2øT   198øH</t>
  </si>
  <si>
    <t>[2022-05-19 10:22:24.630]    18    2øT   181øH</t>
  </si>
  <si>
    <t>[2022-05-19 10:22:24.679]    18    2øT   196øH</t>
  </si>
  <si>
    <t>[2022-05-19 10:22:24.711]    18    2øT   181øH</t>
  </si>
  <si>
    <t>[2022-05-19 10:22:24.759]    18    2øT   207øH</t>
  </si>
  <si>
    <t>[2022-05-19 10:22:24.807]    18    2øT   204øH</t>
  </si>
  <si>
    <t>[2022-05-19 10:22:24.855]    18    2øT   167øH</t>
  </si>
  <si>
    <t>[2022-05-19 10:22:24.904]    19    2øT   241øH</t>
  </si>
  <si>
    <t>[2022-05-19 10:22:24.935]    19    2øT   139øH</t>
  </si>
  <si>
    <t>[2022-05-19 10:22:24.983]    19    2øT   313øH</t>
  </si>
  <si>
    <t>[2022-05-19 10:22:25.031]    19    2øT   276øH</t>
  </si>
  <si>
    <t>[2022-05-19 10:22:25.080]    19    2øT   318øH</t>
  </si>
  <si>
    <t>[2022-05-19 10:22:25.125]    19    2øT   237øH</t>
  </si>
  <si>
    <t>[2022-05-19 10:22:25.159]    19    2øT   300øH</t>
  </si>
  <si>
    <t>[2022-05-19 10:22:25.207]    19    2øT   238øH</t>
  </si>
  <si>
    <t>[2022-05-19 10:22:25.254]    19    2øT   284øH</t>
  </si>
  <si>
    <t>[2022-05-19 10:22:25.302]    19    2øT   259øH</t>
  </si>
  <si>
    <t>[2022-05-19 10:22:25.349]    19    2øT   241øH</t>
  </si>
  <si>
    <t>[2022-05-19 10:22:25.383]    19    2øT   276øH</t>
  </si>
  <si>
    <t>[2022-05-19 10:22:25.430]    19    2øT   242øH</t>
  </si>
  <si>
    <t>[2022-05-19 10:22:25.478]    19    2øT   271øH</t>
  </si>
  <si>
    <t>[2022-05-19 10:22:25.527]    19    2øT   251øH</t>
  </si>
  <si>
    <t>[2022-05-19 10:22:25.574]    19    2øT   303øH</t>
  </si>
  <si>
    <t>[2022-05-19 10:22:25.607]    20    2øT   249øH</t>
  </si>
  <si>
    <t>[2022-05-19 10:22:25.654]    20    2øT   253øH</t>
  </si>
  <si>
    <t>[2022-05-19 10:22:25.704]    20    2øT   252øH</t>
  </si>
  <si>
    <t>[2022-05-19 10:22:25.749]    20    2øT   267øH</t>
  </si>
  <si>
    <t>[2022-05-19 10:22:25.797]    20    2øT   284øH</t>
  </si>
  <si>
    <t>[2022-05-19 10:22:25.831]    20    2øT   283øH</t>
  </si>
  <si>
    <t>[2022-05-19 10:22:25.879]    20    2øT   303øH</t>
  </si>
  <si>
    <t>[2022-05-19 10:22:25.927]    20    2øT   278øH</t>
  </si>
  <si>
    <t>[2022-05-19 10:22:25.974]    20    2øT   296øH</t>
  </si>
  <si>
    <t>[2022-05-19 10:22:26.023]    20    2øT   281øH</t>
  </si>
  <si>
    <t>[2022-05-19 10:22:26.055]    20    2øT   265øH</t>
  </si>
  <si>
    <t>[2022-05-19 10:22:26.103]    20    2øT   268øH</t>
  </si>
  <si>
    <t>[2022-05-19 10:22:26.150]    20    2øT   248øH</t>
  </si>
  <si>
    <t>[2022-05-19 10:22:26.198]    20    2øT   268øH</t>
  </si>
  <si>
    <t>[2022-05-19 10:22:26.246]    20    2øT   285øH</t>
  </si>
  <si>
    <t>[2022-05-19 10:22:26.278]    20    2øT   253øH</t>
  </si>
  <si>
    <t>[2022-05-19 10:22:26.327]    21    2øT   239øH</t>
  </si>
  <si>
    <t>[2022-05-19 10:22:26.374]    21    3øT   283øH</t>
  </si>
  <si>
    <t>[2022-05-19 10:22:26.422]    21    2øT   254øH</t>
  </si>
  <si>
    <t>[2022-05-19 10:22:26.471]    21    2øT   291øH</t>
  </si>
  <si>
    <t>[2022-05-19 10:22:26.502]    21    2øT   297øH</t>
  </si>
  <si>
    <t>[2022-05-19 10:22:26.550]    21    2øT   297øH</t>
  </si>
  <si>
    <t>[2022-05-19 10:22:26.599]    21    2øT   340øH</t>
  </si>
  <si>
    <t>[2022-05-19 10:22:26.647]    21    2øT   287øH</t>
  </si>
  <si>
    <t>[2022-05-19 10:22:26.694]    21    2øT   334øH</t>
  </si>
  <si>
    <t>[2022-05-19 10:22:26.727]    21    2øT   316øH</t>
  </si>
  <si>
    <t>[2022-05-19 10:22:26.774]    21    2øT   328øH</t>
  </si>
  <si>
    <t>[2022-05-19 10:22:26.822]    21    2øT   326øH</t>
  </si>
  <si>
    <t>[2022-05-19 10:22:26.869]    21    2øT   327øH</t>
  </si>
  <si>
    <t>[2022-05-19 10:22:26.917]    21    2øT   322øH</t>
  </si>
  <si>
    <t>[2022-05-19 10:22:26.951]    21    2øT   311øH</t>
  </si>
  <si>
    <t>[2022-05-19 10:22:26.998]    21    2øT     5øH</t>
  </si>
  <si>
    <t xml:space="preserve">[2022-05-19 10:22:27.032] </t>
  </si>
  <si>
    <t>[2022-05-19 10:22:27.032]  Normal shutdown.</t>
  </si>
  <si>
    <t xml:space="preserve">[2022-05-19 10:22:27.064] </t>
  </si>
  <si>
    <t xml:space="preserve">[2022-05-19 10:22:27.078]  End of instrument data file.        </t>
  </si>
  <si>
    <t xml:space="preserve">[2022-05-19 10:22:27.128] </t>
  </si>
  <si>
    <t xml:space="preserve">[2022-05-19 10:22:27.159]  Terminate file logging operation now          </t>
  </si>
  <si>
    <t>[2022-05-19 10:22:27.222]  and press any key to continue.</t>
  </si>
  <si>
    <t xml:space="preserve">[2022-05-19 10:22:35.365] </t>
  </si>
  <si>
    <t>[2022-05-19 10:22:35.412] _______________________________________________________</t>
  </si>
  <si>
    <t xml:space="preserve">[2022-05-19 10:22:35.476] </t>
  </si>
  <si>
    <t xml:space="preserve">[2022-05-19 10:22:35.490]               </t>
  </si>
  <si>
    <t xml:space="preserve">[2022-05-19 10:22:35.539]    </t>
  </si>
  <si>
    <t xml:space="preserve">[2022-05-19 10:22:35.635]     </t>
  </si>
  <si>
    <t xml:space="preserve">[2022-05-19 10:22:35.731]        </t>
  </si>
  <si>
    <t xml:space="preserve">[2022-05-19 10:22:35.826]   </t>
  </si>
  <si>
    <t xml:space="preserve">[2022-05-19 10:22:35.893] </t>
  </si>
  <si>
    <t xml:space="preserve">[2022-05-19 10:22:35.922]    </t>
  </si>
  <si>
    <t xml:space="preserve">[2022-05-19 10:22:36.033]    </t>
  </si>
  <si>
    <t xml:space="preserve">[2022-05-19 10:22:36.128]    </t>
  </si>
  <si>
    <t xml:space="preserve">[2022-05-19 10:22:36.226]    </t>
  </si>
  <si>
    <t xml:space="preserve">      Thu May 19 00:15:18 2022</t>
  </si>
  <si>
    <t xml:space="preserve">[2022-05-19 10:22:36.276] </t>
  </si>
  <si>
    <t xml:space="preserve">[2022-05-19 10:22:36.306]       </t>
  </si>
  <si>
    <t xml:space="preserve">[2022-05-19 10:22:36.402]        </t>
  </si>
  <si>
    <t xml:space="preserve">[2022-05-19 10:22:36.498]  </t>
  </si>
  <si>
    <t xml:space="preserve">[2022-05-19 10:22:36.594]   </t>
  </si>
  <si>
    <t xml:space="preserve">[2022-05-19 10:22:36.645] </t>
  </si>
  <si>
    <t xml:space="preserve">[2022-05-19 10:22:36.658]       </t>
  </si>
  <si>
    <t xml:space="preserve">[2022-05-19 10:22:39.812] </t>
  </si>
  <si>
    <t>[2022-05-19 10:22:39.824]  &lt;05/19/2022 00:15:23&gt; Sleeping . . .</t>
  </si>
  <si>
    <t xml:space="preserve">[2022-05-19 10:32:37.376] </t>
  </si>
  <si>
    <t>[2022-05-19 10:32:37.391]  Enter &lt;CTRL-C&gt; now to wake up?</t>
  </si>
  <si>
    <t xml:space="preserve">[2022-05-19 10:32:38.032] </t>
  </si>
  <si>
    <t>[2022-05-19 10:32:38.063] _______________________________________________________</t>
  </si>
  <si>
    <t xml:space="preserve">[2022-05-19 10:32:38.127] </t>
  </si>
  <si>
    <t xml:space="preserve">[2022-05-19 10:32:38.142]               </t>
  </si>
  <si>
    <t xml:space="preserve">[2022-05-19 10:32:38.190] </t>
  </si>
  <si>
    <t xml:space="preserve">[2022-05-19 10:32:38.285]     </t>
  </si>
  <si>
    <t xml:space="preserve">[2022-05-19 10:32:38.381]        </t>
  </si>
  <si>
    <t xml:space="preserve">Version: pst-21_1.c   S/N: ML11649-01            </t>
  </si>
  <si>
    <t xml:space="preserve">[2022-05-19 10:32:38.460] </t>
  </si>
  <si>
    <t xml:space="preserve">[2022-05-19 10:32:38.492]    </t>
  </si>
  <si>
    <t xml:space="preserve">[2022-05-19 10:32:38.590]    </t>
  </si>
  <si>
    <t xml:space="preserve">[2022-05-19 10:32:38.702]    </t>
  </si>
  <si>
    <t xml:space="preserve">[2022-05-19 10:32:38.797]    </t>
  </si>
  <si>
    <t xml:space="preserve">      Wed May 18 23:59:26 2022</t>
  </si>
  <si>
    <t xml:space="preserve">[2022-05-19 10:32:38.844] </t>
  </si>
  <si>
    <t xml:space="preserve">[2022-05-19 10:32:38.877]       </t>
  </si>
  <si>
    <t xml:space="preserve">[2022-05-19 10:32:38.974]        </t>
  </si>
  <si>
    <t xml:space="preserve">[2022-05-19 10:32:39.069]  </t>
  </si>
  <si>
    <t xml:space="preserve">[2022-05-19 10:32:39.164]   </t>
  </si>
  <si>
    <t xml:space="preserve">[2022-05-19 10:32:39.212] </t>
  </si>
  <si>
    <t xml:space="preserve">[2022-05-19 10:32:39.229]       </t>
  </si>
  <si>
    <t xml:space="preserve">[2022-05-19 10:32:42.634] </t>
  </si>
  <si>
    <t xml:space="preserve">[2022-05-19 10:32:42.666]     </t>
  </si>
  <si>
    <t xml:space="preserve">[2022-05-19 10:32:42.745]   </t>
  </si>
  <si>
    <t xml:space="preserve">[2022-05-19 10:32:42.809]   </t>
  </si>
  <si>
    <t xml:space="preserve">[2022-05-19 10:32:42.889]   </t>
  </si>
  <si>
    <t xml:space="preserve">     Wed May 18 23:59:30 2022</t>
  </si>
  <si>
    <t xml:space="preserve">[2022-05-19 10:32:42.936] </t>
  </si>
  <si>
    <t xml:space="preserve">[2022-05-19 10:32:42.952]        </t>
  </si>
  <si>
    <t xml:space="preserve">&lt;1&gt; Display data file        </t>
  </si>
  <si>
    <t xml:space="preserve">[2022-05-19 10:32:43.015] </t>
  </si>
  <si>
    <t xml:space="preserve">&lt;2&gt; Display backup EEPROM        </t>
  </si>
  <si>
    <t xml:space="preserve">[2022-05-19 10:32:43.063]     </t>
  </si>
  <si>
    <t xml:space="preserve">[2022-05-19 10:32:43.079] </t>
  </si>
  <si>
    <t xml:space="preserve">[2022-05-19 10:32:43.095]        </t>
  </si>
  <si>
    <t xml:space="preserve">[2022-05-19 10:32:45.608] </t>
  </si>
  <si>
    <t xml:space="preserve">[2022-05-19 10:32:45.637]  To copy the instrument data file to a disk file, initiate          </t>
  </si>
  <si>
    <t xml:space="preserve">[2022-05-19 10:32:45.765]  your communication program's file logging command now and          </t>
  </si>
  <si>
    <t xml:space="preserve">[2022-05-19 10:32:45.877]  then press any key to start the transfer.  The instrument          </t>
  </si>
  <si>
    <t xml:space="preserve">[2022-05-19 10:32:45.991]  data file will remain resident and is not erased by this          </t>
  </si>
  <si>
    <t>[2022-05-19 10:32:46.071]  offload procedure.</t>
  </si>
  <si>
    <t xml:space="preserve">[2022-05-19 10:32:46.104] </t>
  </si>
  <si>
    <t xml:space="preserve">[2022-05-19 10:32:47.335] </t>
  </si>
  <si>
    <t xml:space="preserve">[2022-05-19 10:32:47.366]  Software version:  pst-21_1.c          </t>
  </si>
  <si>
    <t xml:space="preserve">[2022-05-19 10:32:47.447]  Compiled:          Sep 26 2002 11:10:14  </t>
  </si>
  <si>
    <t>[2022-05-19 10:32:47.525]  Electronics S/N:   ML11649-01</t>
  </si>
  <si>
    <t xml:space="preserve">[2022-05-19 10:32:47.558] </t>
  </si>
  <si>
    <t>[2022-05-19 10:32:47.606]  Data recording start time = 04/22/2021 22:56:56</t>
  </si>
  <si>
    <t>[2022-05-19 10:32:47.717]  Data recording stop time  = 04/21/2022 00:00:26</t>
  </si>
  <si>
    <t xml:space="preserve">[2022-05-19 10:32:47.781] </t>
  </si>
  <si>
    <t>[2022-05-19 10:32:47.781]  HEADER</t>
  </si>
  <si>
    <t>[2022-05-19 10:32:47.797]  ______</t>
  </si>
  <si>
    <t xml:space="preserve">[2022-05-19 10:32:47.814] </t>
  </si>
  <si>
    <t>[2022-05-19 10:32:47.829]  SAZ23_2021_3800m_11649_01_No_Tilt</t>
  </si>
  <si>
    <t xml:space="preserve">[2022-05-19 10:32:47.879] </t>
  </si>
  <si>
    <t>[2022-05-19 10:32:47.879]  SCHEDULE</t>
  </si>
  <si>
    <t>[2022-05-19 10:32:47.894]  ________</t>
  </si>
  <si>
    <t xml:space="preserve">[2022-05-19 10:32:47.911] </t>
  </si>
  <si>
    <t>[2022-05-19 10:32:47.959]  Event 01 of 22 @ 04/29/2021 00:00:00</t>
  </si>
  <si>
    <t>[2022-05-19 10:32:48.053]  Event 02 of 22 @ 05/16/2021 00:00:00</t>
  </si>
  <si>
    <t>[2022-05-19 10:32:48.149]  Event 03 of 22 @ 06/02/2021 00:00:00</t>
  </si>
  <si>
    <t>[2022-05-19 10:32:48.229]  Event 04 of 22 @ 06/19/2021 00:00:00</t>
  </si>
  <si>
    <t>[2022-05-19 10:32:48.325]  Event 05 of 22 @ 07/06/2021 00:00:00</t>
  </si>
  <si>
    <t>[2022-05-19 10:32:48.420]  Event 06 of 22 @ 07/23/2021 00:00:00</t>
  </si>
  <si>
    <t>[2022-05-19 10:32:48.516]  Event 07 of 22 @ 08/09/2021 00:00:00</t>
  </si>
  <si>
    <t>[2022-05-19 10:32:48.595]  Event 08 of 22 @ 08/26/2021 00:00:00</t>
  </si>
  <si>
    <t>[2022-05-19 10:32:48.691]  Event 09 of 22 @ 09/12/2021 00:00:00</t>
  </si>
  <si>
    <t>[2022-05-19 10:32:48.789]  Event 10 of 22 @ 09/29/2021 00:00:00</t>
  </si>
  <si>
    <t>[2022-05-19 10:32:48.885]  Event 11 of 22 @ 10/16/2021 00:00:00</t>
  </si>
  <si>
    <t>[2022-05-19 10:32:48.965]  Event 12 of 22 @ 11/02/2021 00:00:00</t>
  </si>
  <si>
    <t>[2022-05-19 10:32:49.062]  Event 13 of 22 @ 11/19/2021 00:00:00</t>
  </si>
  <si>
    <t>[2022-05-19 10:32:49.157]  Event 14 of 22 @ 12/06/2021 00:00:00</t>
  </si>
  <si>
    <t>[2022-05-19 10:32:49.252]  Event 15 of 22 @ 12/23/2021 00:00:00</t>
  </si>
  <si>
    <t>[2022-05-19 10:32:49.332]  Event 16 of 22 @ 01/09/2022 00:00:00</t>
  </si>
  <si>
    <t>[2022-05-19 10:32:49.428]  Event 17 of 22 @ 01/26/2022 00:00:00</t>
  </si>
  <si>
    <t>[2022-05-19 10:32:49.526]  Event 18 of 22 @ 02/12/2022 00:00:00</t>
  </si>
  <si>
    <t>[2022-05-19 10:32:49.603]  Event 19 of 22 @ 03/01/2022 00:00:00</t>
  </si>
  <si>
    <t>[2022-05-19 10:32:49.699]  Event 20 of 22 @ 03/18/2022 00:00:00</t>
  </si>
  <si>
    <t>[2022-05-19 10:32:49.796]  Event 21 of 22 @ 04/04/2022 00:00:00</t>
  </si>
  <si>
    <t>[2022-05-19 10:32:49.876]  Event 22 of 22 @ 04/21/2022 00:00:00</t>
  </si>
  <si>
    <t xml:space="preserve">[2022-05-19 10:32:49.926] </t>
  </si>
  <si>
    <t>[2022-05-19 10:32:49.943]  DEPLOYMENT DATA</t>
  </si>
  <si>
    <t>[2022-05-19 10:32:49.971]  _______________</t>
  </si>
  <si>
    <t xml:space="preserve">[2022-05-19 10:32:49.990] </t>
  </si>
  <si>
    <t>[2022-05-19 10:32:50.005]  Event 01</t>
  </si>
  <si>
    <t xml:space="preserve">[2022-05-19 10:32:50.005] </t>
  </si>
  <si>
    <t>[2022-05-19 10:32:50.052]  Scheduled start time:  04/29/2021 00:00:00</t>
  </si>
  <si>
    <t>[2022-05-19 10:32:50.148]  Event start time:      04/29/2021 00:00:00</t>
  </si>
  <si>
    <t>[2022-05-19 10:32:50.244]  Event stop time:       04/29/2021 00:00:25</t>
  </si>
  <si>
    <t xml:space="preserve">[2022-05-19 10:32:50.295] </t>
  </si>
  <si>
    <t>[2022-05-19 10:32:50.326]          Aligned    Battery    Temperature</t>
  </si>
  <si>
    <t>[2022-05-19 10:32:50.436]  Start:     Y         19.6          1 øC</t>
  </si>
  <si>
    <t>[2022-05-19 10:32:50.533]  Stop:      Y         19.3          1 øC</t>
  </si>
  <si>
    <t xml:space="preserve">[2022-05-19 10:32:50.581] </t>
  </si>
  <si>
    <t>[2022-05-19 10:32:50.581]  Event 02</t>
  </si>
  <si>
    <t xml:space="preserve">[2022-05-19 10:32:50.596] </t>
  </si>
  <si>
    <t>[2022-05-19 10:32:50.643]  Scheduled start time:  05/16/2021 00:00:00</t>
  </si>
  <si>
    <t>[2022-05-19 10:32:50.739]  Event start time:      05/16/2021 00:00:00</t>
  </si>
  <si>
    <t>[2022-05-19 10:32:50.836]  Event stop time:       05/16/2021 00:00:25</t>
  </si>
  <si>
    <t xml:space="preserve">[2022-05-19 10:32:50.885] </t>
  </si>
  <si>
    <t>[2022-05-19 10:32:50.915]          Aligned    Battery    Temperature</t>
  </si>
  <si>
    <t>[2022-05-19 10:32:51.011]  Start:     Y         19.2          1 øC</t>
  </si>
  <si>
    <t>[2022-05-19 10:32:51.123]  Stop:      Y         18.9          1 øC</t>
  </si>
  <si>
    <t xml:space="preserve">[2022-05-19 10:32:51.172] </t>
  </si>
  <si>
    <t>[2022-05-19 10:32:51.172]  Event 03</t>
  </si>
  <si>
    <t xml:space="preserve">[2022-05-19 10:32:51.189] </t>
  </si>
  <si>
    <t>[2022-05-19 10:32:51.235]  Scheduled start time:  06/02/2021 00:00:00</t>
  </si>
  <si>
    <t>[2022-05-19 10:32:51.330]  Event start time:      06/02/2021 00:00:00</t>
  </si>
  <si>
    <t>[2022-05-19 10:32:51.426]  Event stop time:       06/02/2021 00:00:25</t>
  </si>
  <si>
    <t xml:space="preserve">[2022-05-19 10:32:51.476] </t>
  </si>
  <si>
    <t>[2022-05-19 10:32:51.506]          Aligned    Battery    Temperature</t>
  </si>
  <si>
    <t>[2022-05-19 10:32:51.602]  Start:     Y         18.9          1 øC</t>
  </si>
  <si>
    <t>[2022-05-19 10:32:51.713]  Stop:      Y         18.6          1 øC</t>
  </si>
  <si>
    <t xml:space="preserve">[2022-05-19 10:32:51.762] </t>
  </si>
  <si>
    <t>[2022-05-19 10:32:51.762]  Event 04</t>
  </si>
  <si>
    <t xml:space="preserve">[2022-05-19 10:32:51.778] </t>
  </si>
  <si>
    <t>[2022-05-19 10:32:51.825]  Scheduled start time:  06/19/2021 00:00:00</t>
  </si>
  <si>
    <t>[2022-05-19 10:32:51.921]  Event start time:      06/19/2021 00:00:00</t>
  </si>
  <si>
    <t>[2022-05-19 10:32:52.018]  Event stop time:       06/19/2021 00:00:25</t>
  </si>
  <si>
    <t xml:space="preserve">[2022-05-19 10:32:52.069] </t>
  </si>
  <si>
    <t>[2022-05-19 10:32:52.099]          Aligned    Battery    Temperature</t>
  </si>
  <si>
    <t>[2022-05-19 10:32:52.195]  Start:     Y         18.5          1 øC</t>
  </si>
  <si>
    <t>[2022-05-19 10:32:52.307]  Stop:      Y         18.2          1 øC</t>
  </si>
  <si>
    <t xml:space="preserve">[2022-05-19 10:32:52.355] </t>
  </si>
  <si>
    <t>[2022-05-19 10:32:52.356]  Event 05</t>
  </si>
  <si>
    <t xml:space="preserve">[2022-05-19 10:32:52.371] </t>
  </si>
  <si>
    <t>[2022-05-19 10:32:52.418]  Scheduled start time:  07/06/2021 00:00:00</t>
  </si>
  <si>
    <t>[2022-05-19 10:32:52.514]  Event start time:      07/06/2021 00:00:00</t>
  </si>
  <si>
    <t>[2022-05-19 10:32:52.610]  Event stop time:       07/06/2021 00:00:25</t>
  </si>
  <si>
    <t xml:space="preserve">[2022-05-19 10:32:52.662] </t>
  </si>
  <si>
    <t>[2022-05-19 10:32:52.691]          Aligned    Battery    Temperature</t>
  </si>
  <si>
    <t>[2022-05-19 10:32:52.787]  Start:     Y         18.3          1 øC</t>
  </si>
  <si>
    <t>[2022-05-19 10:32:52.882]  Stop:      Y         18.0          1 øC</t>
  </si>
  <si>
    <t xml:space="preserve">[2022-05-19 10:32:52.932] </t>
  </si>
  <si>
    <t>[2022-05-19 10:32:52.946]  Event 06</t>
  </si>
  <si>
    <t xml:space="preserve">[2022-05-19 10:32:52.963] </t>
  </si>
  <si>
    <t>[2022-05-19 10:32:53.010]  Scheduled start time:  07/23/2021 00:00:00</t>
  </si>
  <si>
    <t>[2022-05-19 10:32:53.104]  Event start time:      07/23/2021 00:00:00</t>
  </si>
  <si>
    <t>[2022-05-19 10:32:53.200]  Event stop time:       07/23/2021 00:00:25</t>
  </si>
  <si>
    <t xml:space="preserve">[2022-05-19 10:32:53.249] </t>
  </si>
  <si>
    <t>[2022-05-19 10:32:53.280]          Aligned    Battery    Temperature</t>
  </si>
  <si>
    <t>[2022-05-19 10:32:53.375]  Start:     Y         18.2          1 øC</t>
  </si>
  <si>
    <t>[2022-05-19 10:32:53.471]  Stop:      Y         17.8          1 øC</t>
  </si>
  <si>
    <t xml:space="preserve">[2022-05-19 10:32:53.522] </t>
  </si>
  <si>
    <t>[2022-05-19 10:32:53.536]  Event 07</t>
  </si>
  <si>
    <t xml:space="preserve">[2022-05-19 10:32:53.554] </t>
  </si>
  <si>
    <t>[2022-05-19 10:32:53.601]  Scheduled start time:  08/09/2021 00:00:00</t>
  </si>
  <si>
    <t>[2022-05-19 10:32:53.698]  Event start time:      08/09/2021 00:00:00</t>
  </si>
  <si>
    <t>[2022-05-19 10:32:53.794]  Event stop time:       08/09/2021 00:00:25</t>
  </si>
  <si>
    <t xml:space="preserve">[2022-05-19 10:32:53.844] </t>
  </si>
  <si>
    <t>[2022-05-19 10:32:53.873]          Aligned    Battery    Temperature</t>
  </si>
  <si>
    <t>[2022-05-19 10:32:53.969]  Start:     Y         18.0          1 øC</t>
  </si>
  <si>
    <t>[2022-05-19 10:32:54.064]  Stop:      Y         17.6          1 øC</t>
  </si>
  <si>
    <t xml:space="preserve">[2022-05-19 10:32:54.115] </t>
  </si>
  <si>
    <t>[2022-05-19 10:32:54.128]  Event 08</t>
  </si>
  <si>
    <t xml:space="preserve">[2022-05-19 10:32:54.145] </t>
  </si>
  <si>
    <t>[2022-05-19 10:32:54.191]  Scheduled start time:  08/26/2021 00:00:00</t>
  </si>
  <si>
    <t>[2022-05-19 10:32:54.287]  Event start time:      08/26/2021 00:00:00</t>
  </si>
  <si>
    <t>[2022-05-19 10:32:54.383]  Event stop time:       08/26/2021 00:00:25</t>
  </si>
  <si>
    <t xml:space="preserve">[2022-05-19 10:32:54.430] </t>
  </si>
  <si>
    <t>[2022-05-19 10:32:54.446]          Aligned    Battery    Temperature</t>
  </si>
  <si>
    <t>[2022-05-19 10:32:54.558]  Start:     Y         17.6          1 øC</t>
  </si>
  <si>
    <t>[2022-05-19 10:32:54.654]  Stop:      Y         17.3          1 øC</t>
  </si>
  <si>
    <t xml:space="preserve">[2022-05-19 10:32:54.703] </t>
  </si>
  <si>
    <t>[2022-05-19 10:32:54.719]  Event 09</t>
  </si>
  <si>
    <t xml:space="preserve">[2022-05-19 10:32:54.735] </t>
  </si>
  <si>
    <t>[2022-05-19 10:32:54.782]  Scheduled start time:  09/12/2021 00:00:00</t>
  </si>
  <si>
    <t>[2022-05-19 10:32:54.878]  Event start time:      09/12/2021 00:00:00</t>
  </si>
  <si>
    <t>[2022-05-19 10:32:54.974]  Event stop time:       09/12/2021 00:00:25</t>
  </si>
  <si>
    <t xml:space="preserve">[2022-05-19 10:32:55.022] </t>
  </si>
  <si>
    <t>[2022-05-19 10:32:55.038]          Aligned    Battery    Temperature</t>
  </si>
  <si>
    <t>[2022-05-19 10:32:55.150]  Start:     Y         17.3          1 øC</t>
  </si>
  <si>
    <t>[2022-05-19 10:32:55.246]  Stop:      Y         16.8          1 øC</t>
  </si>
  <si>
    <t xml:space="preserve">[2022-05-19 10:32:55.295] </t>
  </si>
  <si>
    <t>[2022-05-19 10:32:55.311]  Event 10</t>
  </si>
  <si>
    <t xml:space="preserve">[2022-05-19 10:32:55.326] </t>
  </si>
  <si>
    <t>[2022-05-19 10:32:55.375]  Scheduled start time:  09/29/2021 00:00:00</t>
  </si>
  <si>
    <t>[2022-05-19 10:32:55.470]  Event start time:      09/29/2021 00:00:00</t>
  </si>
  <si>
    <t>[2022-05-19 10:32:55.566]  Event stop time:       09/29/2021 00:00:25</t>
  </si>
  <si>
    <t xml:space="preserve">[2022-05-19 10:32:55.614] </t>
  </si>
  <si>
    <t>[2022-05-19 10:32:55.629]          Aligned    Battery    Temperature</t>
  </si>
  <si>
    <t>[2022-05-19 10:32:55.743]  Start:     Y         17.0          1 øC</t>
  </si>
  <si>
    <t>[2022-05-19 10:32:55.840]  Stop:      Y         16.6          1 øC</t>
  </si>
  <si>
    <t xml:space="preserve">[2022-05-19 10:32:55.889] </t>
  </si>
  <si>
    <t>[2022-05-19 10:32:55.904]  Event 11</t>
  </si>
  <si>
    <t xml:space="preserve">[2022-05-19 10:32:55.921] </t>
  </si>
  <si>
    <t>[2022-05-19 10:32:55.968]  Scheduled start time:  10/16/2021 00:00:00</t>
  </si>
  <si>
    <t>[2022-05-19 10:32:56.063]  Event start time:      10/16/2021 00:00:00</t>
  </si>
  <si>
    <t>[2022-05-19 10:32:56.159]  Event stop time:       10/16/2021 00:00:25</t>
  </si>
  <si>
    <t xml:space="preserve">[2022-05-19 10:32:56.212] </t>
  </si>
  <si>
    <t>[2022-05-19 10:32:56.224]          Aligned    Battery    Temperature</t>
  </si>
  <si>
    <t>[2022-05-19 10:32:56.335]  Start:     Y         16.8          1 øC</t>
  </si>
  <si>
    <t>[2022-05-19 10:32:56.431]  Stop:      Y         16.4          1 øC</t>
  </si>
  <si>
    <t xml:space="preserve">[2022-05-19 10:32:56.480] </t>
  </si>
  <si>
    <t>[2022-05-19 10:32:56.494]  Event 12</t>
  </si>
  <si>
    <t xml:space="preserve">[2022-05-19 10:32:56.510] </t>
  </si>
  <si>
    <t>[2022-05-19 10:32:56.562]  Scheduled start time:  11/02/2021 00:00:00</t>
  </si>
  <si>
    <t>[2022-05-19 10:32:56.654]  Event start time:      11/02/2021 00:00:00</t>
  </si>
  <si>
    <t>[2022-05-19 10:32:56.751]  Event stop time:       11/02/2021 00:00:25</t>
  </si>
  <si>
    <t xml:space="preserve">[2022-05-19 10:32:56.800] </t>
  </si>
  <si>
    <t>[2022-05-19 10:32:56.831]          Aligned    Battery    Temperature</t>
  </si>
  <si>
    <t>[2022-05-19 10:32:56.928]  Start:     Y         16.7          1 øC</t>
  </si>
  <si>
    <t>[2022-05-19 10:32:57.021]  Stop:      Y         16.2          1 øC</t>
  </si>
  <si>
    <t xml:space="preserve">[2022-05-19 10:32:57.070] </t>
  </si>
  <si>
    <t>[2022-05-19 10:32:57.085]  Event 13</t>
  </si>
  <si>
    <t xml:space="preserve">[2022-05-19 10:32:57.102] </t>
  </si>
  <si>
    <t>[2022-05-19 10:32:57.149]  Scheduled start time:  11/19/2021 00:00:00</t>
  </si>
  <si>
    <t>[2022-05-19 10:32:57.245]  Event start time:      11/19/2021 00:00:00</t>
  </si>
  <si>
    <t>[2022-05-19 10:32:57.341]  Event stop time:       11/19/2021 00:00:25</t>
  </si>
  <si>
    <t xml:space="preserve">[2022-05-19 10:32:57.390] </t>
  </si>
  <si>
    <t>[2022-05-19 10:32:57.421]          Aligned    Battery    Temperature</t>
  </si>
  <si>
    <t>[2022-05-19 10:32:57.516]  Start:     Y         16.6          1 øC</t>
  </si>
  <si>
    <t>[2022-05-19 10:32:57.629]  Stop:      Y         16.1          1 øC</t>
  </si>
  <si>
    <t xml:space="preserve">[2022-05-19 10:32:57.677] </t>
  </si>
  <si>
    <t>[2022-05-19 10:32:57.677]  Event 14</t>
  </si>
  <si>
    <t xml:space="preserve">[2022-05-19 10:32:57.695] </t>
  </si>
  <si>
    <t>[2022-05-19 10:32:57.741]  Scheduled start time:  12/06/2021 00:00:00</t>
  </si>
  <si>
    <t>[2022-05-19 10:32:57.837]  Event start time:      12/06/2021 00:00:00</t>
  </si>
  <si>
    <t>[2022-05-19 10:32:57.933]  Event stop time:       12/06/2021 00:00:25</t>
  </si>
  <si>
    <t xml:space="preserve">[2022-05-19 10:32:57.981] </t>
  </si>
  <si>
    <t>[2022-05-19 10:32:58.013]          Aligned    Battery    Temperature</t>
  </si>
  <si>
    <t>[2022-05-19 10:32:58.108]  Start:     Y         16.5          1 øC</t>
  </si>
  <si>
    <t>[2022-05-19 10:32:58.219]  Stop:      Y         15.9          1 øC</t>
  </si>
  <si>
    <t xml:space="preserve">[2022-05-19 10:32:58.269] </t>
  </si>
  <si>
    <t>[2022-05-19 10:32:58.269]  Event 15</t>
  </si>
  <si>
    <t xml:space="preserve">[2022-05-19 10:32:58.285] </t>
  </si>
  <si>
    <t>[2022-05-19 10:32:58.332]  Scheduled start time:  12/23/2021 00:00:00</t>
  </si>
  <si>
    <t>[2022-05-19 10:32:58.428]  Event start time:      12/23/2021 00:00:00</t>
  </si>
  <si>
    <t>[2022-05-19 10:32:58.524]  Event stop time:       12/23/2021 00:00:25</t>
  </si>
  <si>
    <t xml:space="preserve">[2022-05-19 10:32:58.573] </t>
  </si>
  <si>
    <t>[2022-05-19 10:32:58.604]          Aligned    Battery    Temperature</t>
  </si>
  <si>
    <t>[2022-05-19 10:32:58.700]  Start:     Y         16.2          1 øC</t>
  </si>
  <si>
    <t>[2022-05-19 10:32:58.813]  Stop:      Y         15.9          1 øC</t>
  </si>
  <si>
    <t xml:space="preserve">[2022-05-19 10:32:58.863] </t>
  </si>
  <si>
    <t>[2022-05-19 10:32:58.863]  Event 16</t>
  </si>
  <si>
    <t xml:space="preserve">[2022-05-19 10:32:58.879] </t>
  </si>
  <si>
    <t>[2022-05-19 10:32:58.926]  Scheduled start time:  01/09/2022 00:00:00</t>
  </si>
  <si>
    <t>[2022-05-19 10:32:59.022]  Event start time:      01/09/2022 00:00:00</t>
  </si>
  <si>
    <t>[2022-05-19 10:32:59.117]  Event stop time:       01/09/2022 00:00:25</t>
  </si>
  <si>
    <t xml:space="preserve">[2022-05-19 10:32:59.168] </t>
  </si>
  <si>
    <t>[2022-05-19 10:32:59.196]          Aligned    Battery    Temperature</t>
  </si>
  <si>
    <t>[2022-05-19 10:32:59.295]  Start:     Y         16.2          1 øC</t>
  </si>
  <si>
    <t>[2022-05-19 10:32:59.388]  Stop:      Y         15.5          1 øC</t>
  </si>
  <si>
    <t xml:space="preserve">[2022-05-19 10:32:59.438] </t>
  </si>
  <si>
    <t>[2022-05-19 10:32:59.452]  Event 17</t>
  </si>
  <si>
    <t xml:space="preserve">[2022-05-19 10:32:59.470] </t>
  </si>
  <si>
    <t>[2022-05-19 10:32:59.516]  Scheduled start time:  01/26/2022 00:00:00</t>
  </si>
  <si>
    <t>[2022-05-19 10:32:59.612]  Event start time:      01/26/2022 00:00:00</t>
  </si>
  <si>
    <t>[2022-05-19 10:32:59.693]  Event stop time:       01/26/2022 00:00:25</t>
  </si>
  <si>
    <t xml:space="preserve">[2022-05-19 10:32:59.758] </t>
  </si>
  <si>
    <t>[2022-05-19 10:32:59.773]          Aligned    Battery    Temperature</t>
  </si>
  <si>
    <t>[2022-05-19 10:32:59.885]  Start:     Y         15.7          1 øC</t>
  </si>
  <si>
    <t>[2022-05-19 10:32:59.980]  Stop:      Y         15.4          1 øC</t>
  </si>
  <si>
    <t xml:space="preserve">[2022-05-19 10:33:00.030] </t>
  </si>
  <si>
    <t>[2022-05-19 10:33:00.045]  Event 18</t>
  </si>
  <si>
    <t xml:space="preserve">[2022-05-19 10:33:00.045] </t>
  </si>
  <si>
    <t>[2022-05-19 10:33:00.091]  Scheduled start time:  02/12/2022 00:00:00</t>
  </si>
  <si>
    <t>[2022-05-19 10:33:00.186]  Event start time:      02/12/2022 00:00:00</t>
  </si>
  <si>
    <t>[2022-05-19 10:33:00.285]  Event stop time:       02/12/2022 00:00:25</t>
  </si>
  <si>
    <t xml:space="preserve">[2022-05-19 10:33:00.334] </t>
  </si>
  <si>
    <t>[2022-05-19 10:33:00.364]          Aligned    Battery    Temperature</t>
  </si>
  <si>
    <t>[2022-05-19 10:33:00.461]  Start:     Y         15.6          1 øC</t>
  </si>
  <si>
    <t>[2022-05-19 10:33:00.572]  Stop:      Y         15.2          1 øC</t>
  </si>
  <si>
    <t xml:space="preserve">[2022-05-19 10:33:00.621] </t>
  </si>
  <si>
    <t>[2022-05-19 10:33:00.621]  Event 19</t>
  </si>
  <si>
    <t xml:space="preserve">[2022-05-19 10:33:00.637] </t>
  </si>
  <si>
    <t>[2022-05-19 10:33:00.683]  Scheduled start time:  03/01/2022 00:00:00</t>
  </si>
  <si>
    <t>[2022-05-19 10:33:00.779]  Event start time:      03/01/2022 00:00:00</t>
  </si>
  <si>
    <t>[2022-05-19 10:33:00.878]  Event stop time:       03/01/2022 00:00:25</t>
  </si>
  <si>
    <t xml:space="preserve">[2022-05-19 10:33:00.927] </t>
  </si>
  <si>
    <t>[2022-05-19 10:33:00.956]          Aligned    Battery    Temperature</t>
  </si>
  <si>
    <t>[2022-05-19 10:33:01.052]  Start:     Y         15.4          1 øC</t>
  </si>
  <si>
    <t>[2022-05-19 10:33:01.146]  Stop:      Y         14.9          1 øC</t>
  </si>
  <si>
    <t xml:space="preserve">[2022-05-19 10:33:01.196] </t>
  </si>
  <si>
    <t>[2022-05-19 10:33:01.213]  Event 20</t>
  </si>
  <si>
    <t xml:space="preserve">[2022-05-19 10:33:01.231] </t>
  </si>
  <si>
    <t>[2022-05-19 10:33:01.276]  Scheduled start time:  03/18/2022 00:00:00</t>
  </si>
  <si>
    <t>[2022-05-19 10:33:01.372]  Event start time:      03/18/2022 00:00:00</t>
  </si>
  <si>
    <t>[2022-05-19 10:33:01.452]  Event stop time:       03/18/2022 00:00:25</t>
  </si>
  <si>
    <t xml:space="preserve">[2022-05-19 10:33:01.516] </t>
  </si>
  <si>
    <t>[2022-05-19 10:33:01.531]          Aligned    Battery    Temperature</t>
  </si>
  <si>
    <t>[2022-05-19 10:33:01.644]  Start:     Y         15.2          1 øC</t>
  </si>
  <si>
    <t>[2022-05-19 10:33:01.739]  Stop:      Y         14.8          1 øC</t>
  </si>
  <si>
    <t xml:space="preserve">[2022-05-19 10:33:01.789] </t>
  </si>
  <si>
    <t>[2022-05-19 10:33:01.804]  Event 21</t>
  </si>
  <si>
    <t xml:space="preserve">[2022-05-19 10:33:01.821] </t>
  </si>
  <si>
    <t>[2022-05-19 10:33:01.850]  Scheduled start time:  04/04/2022 00:00:00</t>
  </si>
  <si>
    <t>[2022-05-19 10:33:01.946]  Event start time:      04/04/2022 00:00:00</t>
  </si>
  <si>
    <t>[2022-05-19 10:33:02.041]  Event stop time:       04/04/2022 00:00:25</t>
  </si>
  <si>
    <t xml:space="preserve">[2022-05-19 10:33:02.088] </t>
  </si>
  <si>
    <t>[2022-05-19 10:33:02.120]          Aligned    Battery    Temperature</t>
  </si>
  <si>
    <t>[2022-05-19 10:33:02.234]  Start:     Y         15.1          1 øC</t>
  </si>
  <si>
    <t>[2022-05-19 10:33:02.330]  Stop:      Y         14.6          1 øC</t>
  </si>
  <si>
    <t xml:space="preserve">[2022-05-19 10:33:02.381] </t>
  </si>
  <si>
    <t>[2022-05-19 10:33:02.381]  Event 22</t>
  </si>
  <si>
    <t xml:space="preserve">[2022-05-19 10:33:02.398] </t>
  </si>
  <si>
    <t>[2022-05-19 10:33:02.442]  Scheduled start time:  04/21/2022 00:00:00</t>
  </si>
  <si>
    <t>[2022-05-19 10:33:02.538]  Event start time:      04/21/2022 00:00:00</t>
  </si>
  <si>
    <t>[2022-05-19 10:33:02.635]  Event stop time:       04/21/2022 00:00:25</t>
  </si>
  <si>
    <t xml:space="preserve">[2022-05-19 10:33:02.686] </t>
  </si>
  <si>
    <t>[2022-05-19 10:33:02.714]          Aligned    Battery    Temperature</t>
  </si>
  <si>
    <t>[2022-05-19 10:33:02.810]  Start:     Y         14.9          1 øC</t>
  </si>
  <si>
    <t>[2022-05-19 10:33:02.923]  Stop:      Y         14.2          1 øC</t>
  </si>
  <si>
    <t xml:space="preserve">[2022-05-19 10:33:02.971] </t>
  </si>
  <si>
    <t>[2022-05-19 10:33:02.971]  Normal shutdown.</t>
  </si>
  <si>
    <t xml:space="preserve">[2022-05-19 10:33:03.004] </t>
  </si>
  <si>
    <t xml:space="preserve">[2022-05-19 10:33:03.017]  End of instrument data file.        </t>
  </si>
  <si>
    <t xml:space="preserve">[2022-05-19 10:33:03.066] </t>
  </si>
  <si>
    <t xml:space="preserve">[2022-05-19 10:33:03.096]  Terminate file logging operation now          </t>
  </si>
  <si>
    <t>[2022-05-19 10:33:03.162]  and press any key to continue.</t>
  </si>
  <si>
    <t xml:space="preserve">[2022-05-19 10:33:06.967] </t>
  </si>
  <si>
    <t>[2022-05-19 10:33:07.014] _______________________________________________________</t>
  </si>
  <si>
    <t xml:space="preserve">[2022-05-19 10:33:07.080] </t>
  </si>
  <si>
    <t xml:space="preserve">[2022-05-19 10:33:07.080]               </t>
  </si>
  <si>
    <t xml:space="preserve">[2022-05-19 10:33:07.142]      </t>
  </si>
  <si>
    <t xml:space="preserve">[2022-05-19 10:33:07.238]     </t>
  </si>
  <si>
    <t xml:space="preserve">[2022-05-19 10:33:07.334]        </t>
  </si>
  <si>
    <t xml:space="preserve">[2022-05-19 10:33:07.398] </t>
  </si>
  <si>
    <t xml:space="preserve">[2022-05-19 10:33:07.446]    </t>
  </si>
  <si>
    <t xml:space="preserve">[2022-05-19 10:33:07.542]    </t>
  </si>
  <si>
    <t xml:space="preserve">[2022-05-19 10:33:07.653]    </t>
  </si>
  <si>
    <t xml:space="preserve">[2022-05-19 10:33:07.751]    </t>
  </si>
  <si>
    <t xml:space="preserve">      Wed May 18 23:59:55 2022</t>
  </si>
  <si>
    <t xml:space="preserve">[2022-05-19 10:33:07.783] </t>
  </si>
  <si>
    <t xml:space="preserve">[2022-05-19 10:33:07.814]       </t>
  </si>
  <si>
    <t xml:space="preserve">[2022-05-19 10:33:07.926]        </t>
  </si>
  <si>
    <t xml:space="preserve">[2022-05-19 10:33:08.021]  </t>
  </si>
  <si>
    <t xml:space="preserve">[2022-05-19 10:33:08.101]   </t>
  </si>
  <si>
    <t xml:space="preserve">[2022-05-19 10:33:08.167] </t>
  </si>
  <si>
    <t xml:space="preserve">[2022-05-19 10:33:08.181]       </t>
  </si>
  <si>
    <t xml:space="preserve">[2022-05-19 10:33:10.822] </t>
  </si>
  <si>
    <t>[2022-05-19 10:33:10.836]  &lt;05/18/2022 23:59:59&gt; Sleeping . . .</t>
  </si>
  <si>
    <t>computer was not set to UTC!</t>
  </si>
  <si>
    <t>trap slow by 28min 57seconds</t>
  </si>
  <si>
    <t>trap slow by 7min 17seconds</t>
  </si>
  <si>
    <t>trap slow by 33min 12seconds</t>
  </si>
  <si>
    <t>McLane 250x21 frame# 874, controller# 11741-01 and motor# 14182-01 Cup set E</t>
  </si>
  <si>
    <t>giant fish, as long as the cup, added 100ul HgCl2</t>
  </si>
  <si>
    <t>fish scales</t>
  </si>
  <si>
    <r>
      <t>IN2021_V02 carboy 4 24/4/21 00:48 46</t>
    </r>
    <r>
      <rPr>
        <sz val="11"/>
        <color theme="1"/>
        <rFont val="Calibri"/>
        <family val="2"/>
      </rPr>
      <t>˚ 45.76, 141˚</t>
    </r>
    <r>
      <rPr>
        <sz val="11"/>
        <color theme="1"/>
        <rFont val="Calibri"/>
        <family val="2"/>
        <scheme val="minor"/>
      </rPr>
      <t xml:space="preserve"> 48.66</t>
    </r>
  </si>
  <si>
    <r>
      <t>IN2021_V02 carboy 4 24/4/21 00:48 46</t>
    </r>
    <r>
      <rPr>
        <sz val="11"/>
        <color theme="1"/>
        <rFont val="Calibri"/>
        <family val="2"/>
      </rPr>
      <t>˚ 45.76, 141˚</t>
    </r>
    <r>
      <rPr>
        <sz val="11"/>
        <color theme="1"/>
        <rFont val="Calibri"/>
        <family val="2"/>
        <scheme val="minor"/>
      </rPr>
      <t xml:space="preserve"> 48.66 + IN2021_V02 carboy 3 24/4/21 00:27 46</t>
    </r>
    <r>
      <rPr>
        <sz val="11"/>
        <color theme="1"/>
        <rFont val="Calibri"/>
        <family val="2"/>
      </rPr>
      <t>˚ 45.46, 141˚</t>
    </r>
    <r>
      <rPr>
        <sz val="11"/>
        <color theme="1"/>
        <rFont val="Calibri"/>
        <family val="2"/>
        <scheme val="minor"/>
      </rPr>
      <t xml:space="preserve"> 49.46</t>
    </r>
  </si>
  <si>
    <r>
      <t>IN2021_V02 carboy 3 24/4/21 00:27 46</t>
    </r>
    <r>
      <rPr>
        <sz val="11"/>
        <color theme="1"/>
        <rFont val="Calibri"/>
        <family val="2"/>
      </rPr>
      <t>˚ 45.46, 141˚</t>
    </r>
    <r>
      <rPr>
        <sz val="11"/>
        <color theme="1"/>
        <rFont val="Calibri"/>
        <family val="2"/>
        <scheme val="minor"/>
      </rPr>
      <t xml:space="preserve"> 49.46</t>
    </r>
  </si>
  <si>
    <t>2 jars for &lt;1mm fraction</t>
  </si>
  <si>
    <t>for IN2021_V02 FSW</t>
  </si>
  <si>
    <t>for IN2022_V03 FSW</t>
  </si>
  <si>
    <t>Borax used: Sigma-Aldrich S9640-500G, Source# BCCB7491 P.Code 102434898, purchased and opened April 2022 CWE</t>
  </si>
  <si>
    <t>2 jars for &lt;1mm fraction, trying to wash all the faecal matter that is stuck in the giant gelatineous "web", see photos</t>
  </si>
  <si>
    <t>3 jars for &lt;1mm fraction, trying to wash all the faecal matter that is stuck in the giant gelatineous "web", see photos</t>
  </si>
  <si>
    <t>IN2022_V03 carboy 5, 12/5/22 02:15 -46.737, 141.647</t>
  </si>
  <si>
    <r>
      <t>IN2021_V02 carboy 3 24/4/21 00:27 46</t>
    </r>
    <r>
      <rPr>
        <sz val="11"/>
        <color theme="1"/>
        <rFont val="Calibri"/>
        <family val="2"/>
      </rPr>
      <t>˚ 45.46, 141˚</t>
    </r>
    <r>
      <rPr>
        <sz val="11"/>
        <color theme="1"/>
        <rFont val="Calibri"/>
        <family val="2"/>
        <scheme val="minor"/>
      </rPr>
      <t xml:space="preserve"> 49.46 + IN2022_V03 carboy 3 12/5/22 01:26 -46.762, 141.651</t>
    </r>
    <r>
      <rPr>
        <sz val="11"/>
        <color theme="1"/>
        <rFont val="Calibri"/>
        <family val="2"/>
      </rPr>
      <t xml:space="preserve"> </t>
    </r>
  </si>
  <si>
    <t xml:space="preserve">IN2022_V03 12/5/22 carboy 3 01:26 -46.762, 141.651 </t>
  </si>
  <si>
    <t>IN2022_V03 12/5/22 carboy 3 01:26 -46.762, 141.651  + IN2022_V03 carboy 5, 12/5/22 02:15 -46.737, 141.647</t>
  </si>
  <si>
    <t>2 jars for &lt;1 mm fraction</t>
  </si>
  <si>
    <t>temp</t>
  </si>
  <si>
    <t>Date</t>
  </si>
  <si>
    <t>Temp</t>
  </si>
  <si>
    <t>Analyst</t>
  </si>
  <si>
    <t>Comment</t>
  </si>
  <si>
    <t>Calibrations</t>
  </si>
  <si>
    <t>Seven Compact conductivity meter</t>
  </si>
  <si>
    <t>Depth</t>
  </si>
  <si>
    <r>
      <t>[</t>
    </r>
    <r>
      <rPr>
        <sz val="10"/>
        <rFont val="Calibri"/>
        <family val="2"/>
      </rPr>
      <t>°</t>
    </r>
    <r>
      <rPr>
        <sz val="12"/>
        <rFont val="Calibri"/>
        <family val="2"/>
        <charset val="204"/>
        <scheme val="minor"/>
      </rPr>
      <t>C]</t>
    </r>
  </si>
  <si>
    <t>replicate</t>
  </si>
  <si>
    <t>diff</t>
  </si>
  <si>
    <t>date</t>
  </si>
  <si>
    <t>Hannah pH meter</t>
  </si>
  <si>
    <t>Salinity</t>
  </si>
  <si>
    <r>
      <t>Calibrated with 12.8m</t>
    </r>
    <r>
      <rPr>
        <sz val="12"/>
        <rFont val="Calibri"/>
        <family val="2"/>
        <charset val="204"/>
        <scheme val="minor"/>
      </rPr>
      <t>S/cm standard</t>
    </r>
  </si>
  <si>
    <t>reading</t>
  </si>
  <si>
    <t>temperature</t>
  </si>
  <si>
    <t>RSE</t>
  </si>
  <si>
    <t>stdev.p</t>
  </si>
  <si>
    <t>50mS/cm</t>
  </si>
  <si>
    <t>mS/cm</t>
  </si>
  <si>
    <t>53mS/cm</t>
  </si>
  <si>
    <t>12.8mS/cm</t>
  </si>
  <si>
    <t>Salinity check at the end of all measurements</t>
  </si>
  <si>
    <t>pH check at the start of all measurements</t>
  </si>
  <si>
    <t>pH check at the end of all measurements</t>
  </si>
  <si>
    <t>CC: 0.553781/cm</t>
  </si>
  <si>
    <t>Prob condition: 100%</t>
  </si>
  <si>
    <t>new probe this year!</t>
  </si>
  <si>
    <t>average slope: 97.7%</t>
  </si>
  <si>
    <t>I accidentally heated the samples to 90C!</t>
  </si>
  <si>
    <t>I used fresh standards for calibration, though!</t>
  </si>
  <si>
    <t>Deployment</t>
  </si>
  <si>
    <t>sampleQC</t>
  </si>
  <si>
    <t>mass/cup</t>
  </si>
  <si>
    <t>Total</t>
  </si>
  <si>
    <t>PIC QC</t>
  </si>
  <si>
    <t>PC QC</t>
  </si>
  <si>
    <t>PN QC</t>
  </si>
  <si>
    <t>POC QC</t>
  </si>
  <si>
    <t>BSi QC</t>
  </si>
  <si>
    <t>PC_mol_flux</t>
  </si>
  <si>
    <t>PN_mol_flux</t>
  </si>
  <si>
    <t>POC_mol_flux</t>
  </si>
  <si>
    <t>PIC_mol_flux</t>
  </si>
  <si>
    <t>BSi_mol_flux</t>
  </si>
  <si>
    <t>PC mol QC</t>
  </si>
  <si>
    <t>PN mol QC</t>
  </si>
  <si>
    <t>POC mol QC</t>
  </si>
  <si>
    <t>PIC mol QC</t>
  </si>
  <si>
    <t>Bsi mol QC</t>
  </si>
  <si>
    <t>PIC/PN</t>
  </si>
  <si>
    <t>salts</t>
  </si>
  <si>
    <t>salts QC</t>
  </si>
  <si>
    <t>pH QC</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</si>
  <si>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</si>
  <si>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</si>
  <si>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</si>
  <si>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</si>
  <si>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</si>
  <si>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</si>
  <si>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</si>
  <si>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</si>
  <si>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</si>
  <si>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</si>
  <si>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</si>
  <si>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</si>
  <si>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</si>
  <si>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</si>
  <si>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</si>
  <si>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</si>
  <si>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</si>
  <si>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</si>
  <si>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deployment year start</t>
  </si>
  <si>
    <t>site</t>
  </si>
  <si>
    <t>depth_nominal</t>
  </si>
  <si>
    <t>pressure_actual</t>
  </si>
  <si>
    <t>metadata</t>
  </si>
  <si>
    <t>metadata_depth</t>
  </si>
  <si>
    <t>sample</t>
  </si>
  <si>
    <t>sample_qc</t>
  </si>
  <si>
    <t>sample open</t>
  </si>
  <si>
    <t>sample close</t>
  </si>
  <si>
    <t>sample mid-point</t>
  </si>
  <si>
    <t>sample_duration</t>
  </si>
  <si>
    <t>mass_flux</t>
  </si>
  <si>
    <t>mass_flux_uncertainty</t>
  </si>
  <si>
    <t>mass_flux_qc</t>
  </si>
  <si>
    <t>SAL_BRINE</t>
  </si>
  <si>
    <t>SAL_BRINE_uncertainty</t>
  </si>
  <si>
    <t>SAL_BRINE_qc</t>
  </si>
  <si>
    <t>pH_BRINE</t>
  </si>
  <si>
    <t>pH_BRINE_uncertainty</t>
  </si>
  <si>
    <t>pH_BRINE_qc</t>
  </si>
  <si>
    <t>PC_mass_flux</t>
  </si>
  <si>
    <t>PC_mass_flux_uncertainty</t>
  </si>
  <si>
    <t>PC_mass_flux_qc</t>
  </si>
  <si>
    <t>PN_mass_flux</t>
  </si>
  <si>
    <t>PN_mass_flux_uncertainty</t>
  </si>
  <si>
    <t>PN_mass_flux_qc</t>
  </si>
  <si>
    <t>POC_mass_flux</t>
  </si>
  <si>
    <t>POC_mass_flux_uncertainty</t>
  </si>
  <si>
    <t>POC_mass_flux_qc</t>
  </si>
  <si>
    <t>PIC_mass_flux</t>
  </si>
  <si>
    <t>PIC_mass_flux_uncertainty</t>
  </si>
  <si>
    <t>PIC_mass_flux_qc</t>
  </si>
  <si>
    <t>BSi_mass_flux</t>
  </si>
  <si>
    <t>BSi_mass_flux_uncertainty</t>
  </si>
  <si>
    <t>BSi_mass_flux_qc</t>
  </si>
  <si>
    <t>standard_name</t>
  </si>
  <si>
    <t>actual pressure</t>
  </si>
  <si>
    <t>long_name</t>
  </si>
  <si>
    <t>sample number</t>
  </si>
  <si>
    <t>sample duration</t>
  </si>
  <si>
    <t>particulate total mass flux</t>
  </si>
  <si>
    <t xml:space="preserve">sample supernatant practical salinity </t>
  </si>
  <si>
    <t>sample supernatant pH NBS scale</t>
  </si>
  <si>
    <t>particulate total carbon mass flux</t>
  </si>
  <si>
    <t>particulate total nitrogen mass flux</t>
  </si>
  <si>
    <t>particulate organic carbon mass flux</t>
  </si>
  <si>
    <t>particulate inorganic carbon mass flux</t>
  </si>
  <si>
    <t>particulate biogenic silicon mass flux</t>
  </si>
  <si>
    <t>units</t>
  </si>
  <si>
    <t>yyyy:mm:dd hh:mm:ss UTC</t>
  </si>
  <si>
    <t>day</t>
  </si>
  <si>
    <t>mg m-2 d-1</t>
  </si>
  <si>
    <t>1</t>
  </si>
  <si>
    <t>relative_uncertainty</t>
  </si>
  <si>
    <t>uncertainty</t>
  </si>
  <si>
    <t>comment</t>
  </si>
  <si>
    <t>supernatant</t>
  </si>
  <si>
    <t>pressure from nearest instrument on mooring, extrapolated to trap position</t>
  </si>
  <si>
    <t>comment_method</t>
  </si>
  <si>
    <t>dry wt 60C</t>
  </si>
  <si>
    <t>Supernatant salinity measured as conductivity on recovery as indicator of brine washout</t>
  </si>
  <si>
    <t>Supernatant pH measured potentiometrically on recovery as indicator of brine washout</t>
  </si>
  <si>
    <t>elemental analyser total carbon</t>
  </si>
  <si>
    <t>elemental analyser total nitrogen</t>
  </si>
  <si>
    <t>particulate total carbon minus particulate inorganic carbon</t>
  </si>
  <si>
    <t>closed system acidification and coulometry of evolved carbon dioxide</t>
  </si>
  <si>
    <t>alkaline digest and segmented-flow spectrometry</t>
  </si>
  <si>
    <t>comment_sample</t>
  </si>
  <si>
    <t>valid_min</t>
  </si>
  <si>
    <t>valid_max</t>
  </si>
  <si>
    <t>SAZ47-23-2021</t>
  </si>
  <si>
    <t>1000m pH/salinity samples were unintentionally heated to 90C, all pH and salinity results therefore were assigned QC flag 3</t>
  </si>
  <si>
    <r>
      <rPr>
        <sz val="11"/>
        <rFont val="1"/>
      </rPr>
      <t>1</t>
    </r>
  </si>
  <si>
    <t>mean</t>
  </si>
  <si>
    <t>mode</t>
  </si>
  <si>
    <t>1200m</t>
  </si>
  <si>
    <t>Aquadopp</t>
  </si>
  <si>
    <t>Trap</t>
  </si>
  <si>
    <t>frac</t>
  </si>
  <si>
    <t>mass</t>
  </si>
  <si>
    <t xml:space="preserve">date </t>
  </si>
  <si>
    <t>RH</t>
  </si>
  <si>
    <t>Filter</t>
  </si>
  <si>
    <t>Filter used</t>
  </si>
  <si>
    <t>Who</t>
  </si>
  <si>
    <t>difference</t>
  </si>
  <si>
    <t>Balance used</t>
  </si>
  <si>
    <t>#</t>
  </si>
  <si>
    <t>start</t>
  </si>
  <si>
    <t>end</t>
  </si>
  <si>
    <t>filt</t>
  </si>
  <si>
    <t>filt+sed</t>
  </si>
  <si>
    <t>dry</t>
  </si>
  <si>
    <t>weigh</t>
  </si>
  <si>
    <t>dC</t>
  </si>
  <si>
    <t>sn</t>
  </si>
  <si>
    <t>sed</t>
  </si>
  <si>
    <t>sed 10/10</t>
  </si>
  <si>
    <t>sed 1/10</t>
  </si>
  <si>
    <t>diff between splits</t>
  </si>
  <si>
    <t>scintillation vial</t>
  </si>
  <si>
    <t>filter after second drying</t>
  </si>
  <si>
    <t>filt after scraping sediment off</t>
  </si>
  <si>
    <t>loss</t>
  </si>
  <si>
    <t>Mettler Toledo AGU 285</t>
  </si>
  <si>
    <t>filter+sed</t>
  </si>
  <si>
    <t>filter</t>
  </si>
  <si>
    <t>last calibrated 2/2/21</t>
  </si>
  <si>
    <t>Sterlitech Polycarbonate (PCTE) Membrane filters, 0.4um, 47mm</t>
  </si>
  <si>
    <t>test weights</t>
  </si>
  <si>
    <t>humidity</t>
  </si>
  <si>
    <t>Temperature</t>
  </si>
  <si>
    <t>1st round</t>
  </si>
  <si>
    <t>2nd round</t>
  </si>
  <si>
    <t>3rd round</t>
  </si>
  <si>
    <t>10mg</t>
  </si>
  <si>
    <t>100mg</t>
  </si>
  <si>
    <t>200mg</t>
  </si>
  <si>
    <t>500mg</t>
  </si>
  <si>
    <t>1000mg</t>
  </si>
  <si>
    <t>10000mg</t>
  </si>
  <si>
    <t>50000mg</t>
  </si>
  <si>
    <t>2021 saz23</t>
  </si>
  <si>
    <t>PCT0447100, Lot: M/240419/R/2, opened June '21 CWE</t>
  </si>
  <si>
    <t>12_1</t>
  </si>
  <si>
    <t>12_2</t>
  </si>
  <si>
    <t>16_1</t>
  </si>
  <si>
    <t>16_2</t>
  </si>
  <si>
    <t>PCT0447100, Lot: M/240419/R/2, opened Oct '20 CWE</t>
  </si>
  <si>
    <t>24%-24%</t>
  </si>
  <si>
    <t>22.8C-23.3C</t>
  </si>
  <si>
    <t>25%-25%</t>
  </si>
  <si>
    <t>22.7C - 22.8C</t>
  </si>
  <si>
    <t>into oven at 1415 12/07/2022 @ 60C, out of oven 18/7/22 07:40</t>
  </si>
  <si>
    <t>into oven at 1015 13/07/2022 @ 60C, out of oven 18/7/22 07:40</t>
  </si>
  <si>
    <t>17_1</t>
  </si>
  <si>
    <t>17_2</t>
  </si>
  <si>
    <t>into oven at 1415 19/07/2022 @ 60C, out of oven 07:00 25/07/2022</t>
  </si>
  <si>
    <t>into oven at 1150 20/07/2022 @ 60C, out of oven 07:00 25/07/2022</t>
  </si>
  <si>
    <t>31%-31%</t>
  </si>
  <si>
    <t>23C-23.7C</t>
  </si>
  <si>
    <t>into oven @60C 9:15, 25/7/2022, out of oven 01/08/2022 06:50</t>
  </si>
  <si>
    <t>into oven @60C 9:00, 28/7/2022, out of oven 01/08/2022 06:50</t>
  </si>
  <si>
    <t>29%-29%</t>
  </si>
  <si>
    <t>22.7C-23.5C</t>
  </si>
  <si>
    <t>SAZ23_2021_47 sediment trap samples</t>
  </si>
  <si>
    <t>PIC analysis</t>
  </si>
  <si>
    <t>Sercon, smooth wall, flat base, tin cups, 5.5x5mm, SC1109</t>
  </si>
  <si>
    <t>BN 364370, opened Aug '21 and Aug '22 CWE</t>
  </si>
  <si>
    <t>date weighed</t>
  </si>
  <si>
    <t>ug</t>
  </si>
  <si>
    <t>21.8-22.5</t>
  </si>
  <si>
    <t>3_a</t>
  </si>
  <si>
    <t>3_b</t>
  </si>
  <si>
    <t>22.5-23</t>
  </si>
  <si>
    <t>16_a</t>
  </si>
  <si>
    <t>16_b</t>
  </si>
  <si>
    <t>1_a</t>
  </si>
  <si>
    <t>1_b</t>
  </si>
  <si>
    <t>23-23.2</t>
  </si>
  <si>
    <t>17_a</t>
  </si>
  <si>
    <t>23.2-23.4</t>
  </si>
  <si>
    <t>17_b</t>
  </si>
  <si>
    <t>23.4-23.6</t>
  </si>
  <si>
    <t>11_a</t>
  </si>
  <si>
    <t>11_b</t>
  </si>
  <si>
    <t>Sample mass</t>
  </si>
  <si>
    <t>mass correction</t>
  </si>
  <si>
    <t>Blank</t>
  </si>
  <si>
    <t>Calculation from Standard Curve</t>
  </si>
  <si>
    <t>Calculation direct from raw figures</t>
  </si>
  <si>
    <t>Analytical precision calculation / standard error of regression</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</si>
  <si>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</si>
  <si>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</si>
  <si>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</si>
  <si>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</si>
  <si>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</si>
  <si>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</si>
  <si>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</si>
  <si>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</si>
  <si>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</si>
  <si>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</si>
  <si>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</si>
  <si>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</si>
  <si>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</si>
  <si>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</si>
  <si>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</si>
  <si>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</si>
  <si>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</si>
  <si>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Estimate (ug C) from calibration curve</t>
  </si>
  <si>
    <t>standard deviation about the regression</t>
  </si>
  <si>
    <t>max precision ugC</t>
  </si>
  <si>
    <t>min precision ugC</t>
  </si>
  <si>
    <t>max precision ugCaCO3</t>
  </si>
  <si>
    <t>FLAG</t>
  </si>
  <si>
    <t>copied from C:\Users\cawynn\OneDrive - University of Tasmania\sediment trap lab proc\RAW data\PIC, file name "PIC_SEDIMENT TRAP_RESULTS_CWE_2022_b.xls"</t>
  </si>
  <si>
    <t>Cell got to ~ 94mA during initial titration</t>
  </si>
  <si>
    <t>Ran the usual purge and acidify macro and the new 3min run time</t>
  </si>
  <si>
    <t>purged and acidified 30/08/2022, overnight, analysed 31/8/22</t>
  </si>
  <si>
    <t>blank 1</t>
  </si>
  <si>
    <t>blank 2</t>
  </si>
  <si>
    <t>blank 3</t>
  </si>
  <si>
    <t>CaCO3 Std.1  270.9</t>
  </si>
  <si>
    <t>CaCO3 Std.2  1261.4</t>
  </si>
  <si>
    <t>CaCO3 Std.3  1876.9</t>
  </si>
  <si>
    <t>CaCO3 Std.4  3017.8</t>
  </si>
  <si>
    <t>CaCO3 Std.5  4013.1</t>
  </si>
  <si>
    <t>blank 4</t>
  </si>
  <si>
    <t>blank 5</t>
  </si>
  <si>
    <t>1999_54_1500_14a</t>
  </si>
  <si>
    <t>blank 6</t>
  </si>
  <si>
    <t>blank 7</t>
  </si>
  <si>
    <t>47_1000_1</t>
  </si>
  <si>
    <t>47_1000_2</t>
  </si>
  <si>
    <t>47_1000_4</t>
  </si>
  <si>
    <t>47_1000_5</t>
  </si>
  <si>
    <t>47_1000_6</t>
  </si>
  <si>
    <t>47_1000_7</t>
  </si>
  <si>
    <t>47_1000_3a</t>
  </si>
  <si>
    <t>blank 8</t>
  </si>
  <si>
    <t>47_1000_8</t>
  </si>
  <si>
    <t>47_1000_3b</t>
  </si>
  <si>
    <t>47_1000_9</t>
  </si>
  <si>
    <t>47_1000_10</t>
  </si>
  <si>
    <t>47_1000_11</t>
  </si>
  <si>
    <t>47_1000_12</t>
  </si>
  <si>
    <t>47_1000_13</t>
  </si>
  <si>
    <t>blank 9</t>
  </si>
  <si>
    <t>CaCO3 Std.3  2629.8</t>
  </si>
  <si>
    <t>blank 10</t>
  </si>
  <si>
    <t>Cell got to ~ 91mA during initial titration</t>
  </si>
  <si>
    <t>purged and acidified 31/08/2022, overnight, analysed 01/9/22</t>
  </si>
  <si>
    <t>less acid than usual was dispensed into the vials, turns out there was a leak in the acid lines, but all samples were submerged in acid.</t>
  </si>
  <si>
    <t>CaCO3 Std.1  332.8</t>
  </si>
  <si>
    <t>CaCO3 Std.2  1028.8</t>
  </si>
  <si>
    <t>CaCO3 Std.3  2001.7</t>
  </si>
  <si>
    <t>CaCO3 Std.4  2864.4</t>
  </si>
  <si>
    <t>CaCO3 Std.5  3925.8</t>
  </si>
  <si>
    <t>47_1000_14</t>
  </si>
  <si>
    <t>47_1000_15</t>
  </si>
  <si>
    <t>47_1000_17</t>
  </si>
  <si>
    <t>47_1000_18</t>
  </si>
  <si>
    <t>47_1000_19</t>
  </si>
  <si>
    <t>47_1000_20</t>
  </si>
  <si>
    <t>47_1000_16a</t>
  </si>
  <si>
    <t>47_1000_21</t>
  </si>
  <si>
    <t>47_1000_16b</t>
  </si>
  <si>
    <t>47_2000_2</t>
  </si>
  <si>
    <t>47_2000_3</t>
  </si>
  <si>
    <t>47_2000_4</t>
  </si>
  <si>
    <t>47_2000_5</t>
  </si>
  <si>
    <t>47_2000_6</t>
  </si>
  <si>
    <t>CaCO3 Std.3  1965.6</t>
  </si>
  <si>
    <t>UIC ugC reading</t>
  </si>
  <si>
    <t>blanks</t>
  </si>
  <si>
    <t>% of sample average</t>
  </si>
  <si>
    <t>average</t>
  </si>
  <si>
    <t>% diff duplicates</t>
  </si>
  <si>
    <t>n</t>
  </si>
  <si>
    <t>samples</t>
  </si>
  <si>
    <t>ugC</t>
  </si>
  <si>
    <t>ugCaCO3</t>
  </si>
  <si>
    <t>% average sample</t>
  </si>
  <si>
    <t>cup #</t>
  </si>
  <si>
    <t>std curve</t>
  </si>
  <si>
    <t>2 replicates</t>
  </si>
  <si>
    <t>Cell got to ~ 95mA during initial titration</t>
  </si>
  <si>
    <t>purged and acidified 01/09/2022, overnight, analysed 0209/22</t>
  </si>
  <si>
    <t>CaCO3 Std.1  228.9</t>
  </si>
  <si>
    <t>CaCO3 Std.2  1062.9</t>
  </si>
  <si>
    <t>CaCO3 Std.3  2291</t>
  </si>
  <si>
    <t>CaCO3 Std.4  2896.6</t>
  </si>
  <si>
    <t>CaCO3 Std.5  3792.4</t>
  </si>
  <si>
    <t>47_2000_7</t>
  </si>
  <si>
    <t>47_2000_8</t>
  </si>
  <si>
    <t>47_2000_9</t>
  </si>
  <si>
    <t>47_2000_10</t>
  </si>
  <si>
    <t>47_2000_11</t>
  </si>
  <si>
    <t>47_2000_12</t>
  </si>
  <si>
    <t>47_2000_1a</t>
  </si>
  <si>
    <t>47_2000_13</t>
  </si>
  <si>
    <t>47_2000_1b</t>
  </si>
  <si>
    <t>47_2000_14</t>
  </si>
  <si>
    <t>47_2000_15</t>
  </si>
  <si>
    <t>47_2000_16</t>
  </si>
  <si>
    <t>47_2000_18</t>
  </si>
  <si>
    <t>47_2000_19</t>
  </si>
  <si>
    <t>CaCO3 Std.3  1913.2</t>
  </si>
  <si>
    <t>Cell got to ~ 92mA during initial titration</t>
  </si>
  <si>
    <t>purged and acidified 04/09/2022, overnight, analysed 05/09/22</t>
  </si>
  <si>
    <t>CaCO3 Std.1  313.2</t>
  </si>
  <si>
    <t>CaCO3 Std.2  1009.7</t>
  </si>
  <si>
    <t>CaCO3 Std.3  1908.1</t>
  </si>
  <si>
    <t>CaCO3 Std.4  2898.4</t>
  </si>
  <si>
    <t>CaCO3 Std.5  3854.4</t>
  </si>
  <si>
    <t>47_2000_20</t>
  </si>
  <si>
    <t>47_2000_21</t>
  </si>
  <si>
    <t>47_3800_1</t>
  </si>
  <si>
    <t>47_3800_2</t>
  </si>
  <si>
    <t>47_3800_3</t>
  </si>
  <si>
    <t>47_3800_4</t>
  </si>
  <si>
    <t>47_2000_17a</t>
  </si>
  <si>
    <t>47_3800_5</t>
  </si>
  <si>
    <t>47_2000_17b</t>
  </si>
  <si>
    <t>47_3800_6</t>
  </si>
  <si>
    <t>47_3800_7</t>
  </si>
  <si>
    <t>47_3800_8</t>
  </si>
  <si>
    <t>47_3800_9</t>
  </si>
  <si>
    <t>47_3800_10</t>
  </si>
  <si>
    <t>CaCO3 Std.3  2094.1</t>
  </si>
  <si>
    <t>CaCO3 Std.1  239.1</t>
  </si>
  <si>
    <t>CaCO3 Std.2  1000.5</t>
  </si>
  <si>
    <t>CaCO3 Std.3  2050.9</t>
  </si>
  <si>
    <t>CaCO3 Std.4  3135.2</t>
  </si>
  <si>
    <t>CaCO3 Std.5  4098.9</t>
  </si>
  <si>
    <t>47_3800_12</t>
  </si>
  <si>
    <t>47_3800_13</t>
  </si>
  <si>
    <t>47_3800_14</t>
  </si>
  <si>
    <t>47_3800_15</t>
  </si>
  <si>
    <t>47_3800_17</t>
  </si>
  <si>
    <t>47_3800_18</t>
  </si>
  <si>
    <t>47_3800_11a</t>
  </si>
  <si>
    <t>47_3800_19</t>
  </si>
  <si>
    <t>47_3800_11b</t>
  </si>
  <si>
    <t>47_3800_20</t>
  </si>
  <si>
    <t>47_3800_21</t>
  </si>
  <si>
    <t>47_3800_16a</t>
  </si>
  <si>
    <t>47_3800_16b</t>
  </si>
  <si>
    <t>CaCO3 Std.3  2217.6</t>
  </si>
  <si>
    <t>copied from file "C:\Users\cawynn\OneDrive - University of Tasmania\sediment trap lab proc\RAW data\BSi\saz23_2021\SAZ23_2021_47 sediment trap samples_Report_254_14.09.2022.xls.xls"</t>
  </si>
  <si>
    <t>CSIRO Hydrochemistry Data Report - 254</t>
  </si>
  <si>
    <t>Date Issued:</t>
  </si>
  <si>
    <t>CSIRO Hydrochemistry Laboratory</t>
  </si>
  <si>
    <t>Sample receipt date:</t>
  </si>
  <si>
    <t>Castray Esplanade</t>
  </si>
  <si>
    <t>Data analysis date:</t>
  </si>
  <si>
    <t>Hobart TAS 7000</t>
  </si>
  <si>
    <t>Sample retention*:</t>
  </si>
  <si>
    <t>Email: O&amp;AHydrochemistryFacility@csiro.au</t>
  </si>
  <si>
    <t>Client Details:</t>
  </si>
  <si>
    <t>Cathryn Wynn-Edwards</t>
  </si>
  <si>
    <t>Analysis Type:</t>
  </si>
  <si>
    <t>UTas</t>
  </si>
  <si>
    <t>Nutrient</t>
  </si>
  <si>
    <t>Hydrochem SOP 001-4</t>
  </si>
  <si>
    <t>Phone:</t>
  </si>
  <si>
    <t>Email: cathryn.wynnedwards@utas.edu.au</t>
  </si>
  <si>
    <t>Notes:</t>
  </si>
  <si>
    <t xml:space="preserve">Nutrient ID assigned with a and b indicates duplicate dilution. </t>
  </si>
  <si>
    <t>Pavisara Nanthasurasak</t>
  </si>
  <si>
    <t>raw data from 10mL extraction tube</t>
  </si>
  <si>
    <t>extraction blank average</t>
  </si>
  <si>
    <t>uM</t>
  </si>
  <si>
    <t>Silicate</t>
  </si>
  <si>
    <t>umol/L</t>
  </si>
  <si>
    <t>10ml per nutrient tube</t>
  </si>
  <si>
    <t>original digest volume 5ml, then 4ml taken off for anaysis</t>
  </si>
  <si>
    <t>Lab No.</t>
  </si>
  <si>
    <t>Site ID</t>
  </si>
  <si>
    <t>Nutrient ID</t>
  </si>
  <si>
    <t>Nutrient Bottle QC</t>
  </si>
  <si>
    <t>SilicatePROC_VALUE (µM)</t>
  </si>
  <si>
    <t>digest date</t>
  </si>
  <si>
    <t>digest #</t>
  </si>
  <si>
    <t>final results Silicate uM minus extraction blank average</t>
  </si>
  <si>
    <t>SiO2-Si umol</t>
  </si>
  <si>
    <t>Bsi ug</t>
  </si>
  <si>
    <t>BSiO2 ug</t>
  </si>
  <si>
    <t>Bsi %</t>
  </si>
  <si>
    <t>BsiO2 %</t>
  </si>
  <si>
    <t>difference/mean %Bsi</t>
  </si>
  <si>
    <t>Good</t>
  </si>
  <si>
    <t>5a</t>
  </si>
  <si>
    <t>5b</t>
  </si>
  <si>
    <t>PACS-2</t>
  </si>
  <si>
    <t>12a</t>
  </si>
  <si>
    <t>12b</t>
  </si>
  <si>
    <t>20a</t>
  </si>
  <si>
    <t>20b</t>
  </si>
  <si>
    <t>26a</t>
  </si>
  <si>
    <t>26b</t>
  </si>
  <si>
    <t>34a</t>
  </si>
  <si>
    <t>34b</t>
  </si>
  <si>
    <t>44a</t>
  </si>
  <si>
    <t>44b</t>
  </si>
  <si>
    <t>52a</t>
  </si>
  <si>
    <t>52b</t>
  </si>
  <si>
    <t>59a</t>
  </si>
  <si>
    <t>59b</t>
  </si>
  <si>
    <t>67a</t>
  </si>
  <si>
    <t>67b</t>
  </si>
  <si>
    <t>77a</t>
  </si>
  <si>
    <t>77b</t>
  </si>
  <si>
    <t xml:space="preserve"> There are 10 samples we randomly selected for the duplicate dilutions and they are indicated with nutrient ID a and b.</t>
  </si>
  <si>
    <t>PACS-2 CRM 11.08</t>
  </si>
  <si>
    <t>blank #2</t>
  </si>
  <si>
    <t>blank #3</t>
  </si>
  <si>
    <t>blank #4</t>
  </si>
  <si>
    <t>dilution repeat</t>
  </si>
  <si>
    <t>copied from C:\Users\cawynn\Cloudstor\sediment trap lab proc\RAW data\CHN\saz23_2021, file name "Elemental Analysis - SAZ23-2021-47 - September 2022.xlsx"</t>
  </si>
  <si>
    <t>SAZ23-2021-47-A1</t>
  </si>
  <si>
    <t>07/09/2022</t>
  </si>
  <si>
    <t>13:37</t>
  </si>
  <si>
    <t>SAZ23-2021-47-A2</t>
  </si>
  <si>
    <t>13:49</t>
  </si>
  <si>
    <t>SAZ23-2021-47-A3</t>
  </si>
  <si>
    <t>14:01</t>
  </si>
  <si>
    <t>SAZ23-2021-47-A4</t>
  </si>
  <si>
    <t>14:13</t>
  </si>
  <si>
    <t>SAZ23-2021-47-A5</t>
  </si>
  <si>
    <t>14:25</t>
  </si>
  <si>
    <t>SAZ23-2021-47-A6</t>
  </si>
  <si>
    <t>14:37</t>
  </si>
  <si>
    <t>SAZ23-2021-47-A7</t>
  </si>
  <si>
    <t>14:49</t>
  </si>
  <si>
    <t>SAZ23-2021-47-A8</t>
  </si>
  <si>
    <t>15:01</t>
  </si>
  <si>
    <t>SAZ23-2021-47-A9</t>
  </si>
  <si>
    <t>15:14</t>
  </si>
  <si>
    <t>SAZ23-2021-47-A10</t>
  </si>
  <si>
    <t>15:26</t>
  </si>
  <si>
    <t>SAZ23-2021-47-A11</t>
  </si>
  <si>
    <t>15:38</t>
  </si>
  <si>
    <t>SAZ23-2021-47-A12</t>
  </si>
  <si>
    <t>15:50</t>
  </si>
  <si>
    <t>STD173</t>
  </si>
  <si>
    <t>16:02</t>
  </si>
  <si>
    <t>SAZ23-2021-47-B1</t>
  </si>
  <si>
    <t>16:14</t>
  </si>
  <si>
    <t>SAZ23-2021-47-B2</t>
  </si>
  <si>
    <t>16:26</t>
  </si>
  <si>
    <t>SAZ23-2021-47-B3</t>
  </si>
  <si>
    <t>16:38</t>
  </si>
  <si>
    <t>SAZ23-2021-47-B4</t>
  </si>
  <si>
    <t>16:50</t>
  </si>
  <si>
    <t>SAZ23-2021-47-B5</t>
  </si>
  <si>
    <t>17:02</t>
  </si>
  <si>
    <t>SAZ23-2021-47-B6</t>
  </si>
  <si>
    <t>17:14</t>
  </si>
  <si>
    <t>SAZ23-2021-47-B7</t>
  </si>
  <si>
    <t>17:26</t>
  </si>
  <si>
    <t>SAZ23-2021-47-B8</t>
  </si>
  <si>
    <t>17:38</t>
  </si>
  <si>
    <t>SAZ23-2021-47-B9</t>
  </si>
  <si>
    <t>17:50</t>
  </si>
  <si>
    <t>SAZ23-2021-47-B10</t>
  </si>
  <si>
    <t>18:03</t>
  </si>
  <si>
    <t>SAZ23-2021-47-B11</t>
  </si>
  <si>
    <t>18:15</t>
  </si>
  <si>
    <t>SAZ23-2021-47-B12</t>
  </si>
  <si>
    <t>18:32</t>
  </si>
  <si>
    <t>STD174</t>
  </si>
  <si>
    <t>18:44</t>
  </si>
  <si>
    <t>SAZ23-2021-47-C1</t>
  </si>
  <si>
    <t>18:57</t>
  </si>
  <si>
    <t>SAZ23-2021-47-C2</t>
  </si>
  <si>
    <t>19:09</t>
  </si>
  <si>
    <t>SAZ23-2021-47-C3</t>
  </si>
  <si>
    <t>19:21</t>
  </si>
  <si>
    <t>SAZ23-2021-47-C4</t>
  </si>
  <si>
    <t>19:33</t>
  </si>
  <si>
    <t>SAZ23-2021-47-C5</t>
  </si>
  <si>
    <t>19:45</t>
  </si>
  <si>
    <t>SAZ23-2021-47-C6</t>
  </si>
  <si>
    <t>19:57</t>
  </si>
  <si>
    <t>SAZ23-2021-47-C7</t>
  </si>
  <si>
    <t>20:09</t>
  </si>
  <si>
    <t>SAZ23-2021-47-C8</t>
  </si>
  <si>
    <t>20:21</t>
  </si>
  <si>
    <t>SAZ23-2021-47-C9</t>
  </si>
  <si>
    <t>20:33</t>
  </si>
  <si>
    <t>SAZ23-2021-47-C10</t>
  </si>
  <si>
    <t>20:45</t>
  </si>
  <si>
    <t>SAZ23-2021-47-C11</t>
  </si>
  <si>
    <t>20:57</t>
  </si>
  <si>
    <t>SAZ23-2021-47-C12</t>
  </si>
  <si>
    <t>21:09</t>
  </si>
  <si>
    <t>STD175</t>
  </si>
  <si>
    <t>21:21</t>
  </si>
  <si>
    <t>SAZ23-2021-47-D1</t>
  </si>
  <si>
    <t>21:33</t>
  </si>
  <si>
    <t>SAZ23-2021-47-D2</t>
  </si>
  <si>
    <t>21:45</t>
  </si>
  <si>
    <t>SAZ23-2021-47-D3</t>
  </si>
  <si>
    <t>21:58</t>
  </si>
  <si>
    <t>SAZ23-2021-47-D4</t>
  </si>
  <si>
    <t>22:10</t>
  </si>
  <si>
    <t>SAZ23-2021-47-D5</t>
  </si>
  <si>
    <t>22:22</t>
  </si>
  <si>
    <t>SAZ23-2021-47-D6</t>
  </si>
  <si>
    <t>22:34</t>
  </si>
  <si>
    <t>SAZ23-2021-47-D7</t>
  </si>
  <si>
    <t>22:46</t>
  </si>
  <si>
    <t>SAZ23-2021-47-D8</t>
  </si>
  <si>
    <t>22:58</t>
  </si>
  <si>
    <t>SAZ23-2021-47-D9</t>
  </si>
  <si>
    <t>23:10</t>
  </si>
  <si>
    <t>SAZ23-2021-47-D10</t>
  </si>
  <si>
    <t>23:22</t>
  </si>
  <si>
    <t>SAZ23-2021-47-D11</t>
  </si>
  <si>
    <t>23:34</t>
  </si>
  <si>
    <t>SAZ23-2021-47-D12</t>
  </si>
  <si>
    <t>23:46</t>
  </si>
  <si>
    <t>STD176</t>
  </si>
  <si>
    <t>23:58</t>
  </si>
  <si>
    <t>SAZ23-2021-47-E1</t>
  </si>
  <si>
    <t>08/09/2022</t>
  </si>
  <si>
    <t>00:10</t>
  </si>
  <si>
    <t>SAZ23-2021-47-E2</t>
  </si>
  <si>
    <t>00:22</t>
  </si>
  <si>
    <t>SAZ23-2021-47-E3</t>
  </si>
  <si>
    <t>00:34</t>
  </si>
  <si>
    <t>SAZ23-2021-47-E4</t>
  </si>
  <si>
    <t>00:47</t>
  </si>
  <si>
    <t>SAZ23-2021-47-E5</t>
  </si>
  <si>
    <t>00:59</t>
  </si>
  <si>
    <t>SAZ23-2021-47-E6</t>
  </si>
  <si>
    <t>01:11</t>
  </si>
  <si>
    <t>SAZ23-2021-47-E7</t>
  </si>
  <si>
    <t>01:23</t>
  </si>
  <si>
    <t>SAZ23-2021-47-E8</t>
  </si>
  <si>
    <t>01:35</t>
  </si>
  <si>
    <t>SAZ23-2021-47-E9</t>
  </si>
  <si>
    <t>01:47</t>
  </si>
  <si>
    <t>SAZ23-2021-47-E10</t>
  </si>
  <si>
    <t>01:59</t>
  </si>
  <si>
    <t>SAZ23-2021-47-E11</t>
  </si>
  <si>
    <t>02:11</t>
  </si>
  <si>
    <t>SAZ23-2021-47-E12</t>
  </si>
  <si>
    <t>02:23</t>
  </si>
  <si>
    <t>STD177</t>
  </si>
  <si>
    <t>02:35</t>
  </si>
  <si>
    <t>SAZ23-2021-47-F1</t>
  </si>
  <si>
    <t>02:47</t>
  </si>
  <si>
    <t>SAZ23-2021-47-F2</t>
  </si>
  <si>
    <t>02:59</t>
  </si>
  <si>
    <t>SAZ23-2021-47-F3</t>
  </si>
  <si>
    <t>03:11</t>
  </si>
  <si>
    <t>SAZ23-2021-47-F4</t>
  </si>
  <si>
    <t>03:23</t>
  </si>
  <si>
    <t>SAZ23-2021-47-F5</t>
  </si>
  <si>
    <t>03:36</t>
  </si>
  <si>
    <t>SAZ23-2021-47-F6</t>
  </si>
  <si>
    <t>03:48</t>
  </si>
  <si>
    <t>SAZ23-2021-47-F7</t>
  </si>
  <si>
    <t>04:00</t>
  </si>
  <si>
    <t>SAZ23-2021-47-F8</t>
  </si>
  <si>
    <t>04:12</t>
  </si>
  <si>
    <t>SAZ23-2021-47-F9</t>
  </si>
  <si>
    <t>04:24</t>
  </si>
  <si>
    <t>SAZ23-2021-47-F10</t>
  </si>
  <si>
    <t>04:36</t>
  </si>
  <si>
    <t>SAZ23-2021-47-F11</t>
  </si>
  <si>
    <t>04:48</t>
  </si>
  <si>
    <t>SAZ23-2021-47-F12</t>
  </si>
  <si>
    <t>05:00</t>
  </si>
  <si>
    <t>STD178</t>
  </si>
  <si>
    <t>05:12</t>
  </si>
  <si>
    <t>SAZ23-2021-47-G1</t>
  </si>
  <si>
    <t>05:24</t>
  </si>
  <si>
    <t>SAZ23-2021-47-G2</t>
  </si>
  <si>
    <t>05:36</t>
  </si>
  <si>
    <t>SAZ23-2021-47-G3</t>
  </si>
  <si>
    <t>05:48</t>
  </si>
  <si>
    <t>SAZ23-2021-47-G4</t>
  </si>
  <si>
    <t>06:00</t>
  </si>
  <si>
    <t>SAZ23-2021-47-G5</t>
  </si>
  <si>
    <t>06:12</t>
  </si>
  <si>
    <t>SAZ23-2021-47-G6</t>
  </si>
  <si>
    <t>06:24</t>
  </si>
  <si>
    <t xml:space="preserve">The analysis for total nitrogen, carbon and hydrogen was determined by Dr Thomas Rodemann </t>
  </si>
  <si>
    <t>at the Central Science Laboratory, University of Tasmania, using a Thermo FlashSmart Elemental Analyser.</t>
  </si>
  <si>
    <t>Sample</t>
  </si>
  <si>
    <t>year</t>
  </si>
  <si>
    <t>C/N</t>
  </si>
  <si>
    <t>empty capsule only</t>
  </si>
  <si>
    <t>PACS-2 #1</t>
  </si>
  <si>
    <t>PACS-2 #2</t>
  </si>
  <si>
    <t>Acetanilide #1</t>
  </si>
  <si>
    <t>Acetanilide #2</t>
  </si>
  <si>
    <t>PACS-2 #3</t>
  </si>
  <si>
    <t>PACS-2 #4</t>
  </si>
  <si>
    <t>Acetanilide #3</t>
  </si>
  <si>
    <t>Acetanilide #4</t>
  </si>
  <si>
    <t>sample mass</t>
  </si>
  <si>
    <t>%difference between duplicates</t>
  </si>
  <si>
    <t>%N</t>
  </si>
  <si>
    <t>%C</t>
  </si>
  <si>
    <t>n=4</t>
  </si>
  <si>
    <t>% difference from mean</t>
  </si>
  <si>
    <t>Acetanilide</t>
  </si>
  <si>
    <t>cup 16 has QC flag 3, since the mass flux value exceeds our QC limits. However, this mass flux event, starting from cup 16, was seen at all three depths and is thus likely an unusal but real event!</t>
  </si>
  <si>
    <t>cups 17-20 have QC flags 3 for the biogenic silica concentrations. This is due to the values exceeding our QC limits. However, these cups are from an unusally high mass flux event, that also saw unusually low PIC concentrations, and therefore the BSi values could be reflecting a real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</si>
</sst>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d\-mmm\-yyyy"/>
    <numFmt numFmtId="165" formatCode="m/d/yy"/>
    <numFmt numFmtId="166" formatCode="dd\.\ mmm\ yy"/>
    <numFmt numFmtId="167" formatCode="0.0"/>
    <numFmt numFmtId="168" formatCode="dd/mm/yyyy;@"/>
    <numFmt numFmtId="169" formatCode="d\-mmm\-yy\ hh:mm"/>
    <numFmt numFmtId="170" formatCode="0.000"/>
    <numFmt numFmtId="171" formatCode="0.00000"/>
    <numFmt numFmtId="172" formatCode="yyyy/mm/dd\ hh:mm:ss"/>
    <numFmt numFmtId="173" formatCode="0.0%"/>
    <numFmt numFmtId="174" formatCode="d/mm/yyyy;@"/>
    <numFmt numFmtId="175" formatCode="0.0000"/>
  </numFmts>
  <fonts count="62">
    <font>
      <sz val="11"/>
      <color theme="1"/>
      <name val="Calibri"/>
      <family val="2"/>
      <scheme val="minor"/>
    </font>
    <font>
      <sz val="11"/>
      <color rgb="FFFF0000"/>
      <name val="Calibri"/>
      <family val="2"/>
      <scheme val="minor"/>
    </font>
    <font>
      <b/>
      <sz val="10"/>
      <name val="Arial"/>
      <family val="2"/>
    </font>
    <font>
      <sz val="12"/>
      <name val="Calibri"/>
      <family val="2"/>
      <scheme val="minor"/>
    </font>
    <font>
      <sz val="12"/>
      <color rgb="FFFF0000"/>
      <name val="Calibri"/>
      <family val="2"/>
      <scheme val="minor"/>
    </font>
    <font>
      <sz val="12"/>
      <name val="Arial"/>
      <family val="2"/>
    </font>
    <font>
      <b/>
      <sz val="10"/>
      <color rgb="FFFF0000"/>
      <name val="Arial"/>
      <family val="2"/>
    </font>
    <font>
      <b/>
      <sz val="14"/>
      <color theme="1"/>
      <name val="Calibri"/>
      <family val="2"/>
      <scheme val="minor"/>
    </font>
    <font>
      <b/>
      <sz val="14"/>
      <color rgb="FFFF0000"/>
      <name val="Calibri"/>
      <family val="2"/>
      <scheme val="minor"/>
    </font>
    <font>
      <b/>
      <sz val="11"/>
      <color rgb="FFFF0000"/>
      <name val="Calibri"/>
      <family val="2"/>
      <scheme val="minor"/>
    </font>
    <font>
      <b/>
      <sz val="12"/>
      <name val="Calibri"/>
      <family val="2"/>
      <scheme val="minor"/>
    </font>
    <font>
      <sz val="1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i/>
      <sz val="12"/>
      <color theme="1"/>
      <name val="Calibri"/>
      <family val="2"/>
      <scheme val="minor"/>
    </font>
    <font>
      <b/>
      <sz val="11"/>
      <name val="Arial"/>
      <family val="2"/>
    </font>
    <font>
      <sz val="8"/>
      <name val="Calibri"/>
      <family val="2"/>
      <scheme val="minor"/>
    </font>
    <font>
      <sz val="10"/>
      <color indexed="8"/>
      <name val="MS Sans Serif"/>
      <family val="2"/>
    </font>
    <font>
      <b/>
      <sz val="14"/>
      <name val="Calibri"/>
      <family val="2"/>
      <scheme val="minor"/>
    </font>
    <font>
      <sz val="10"/>
      <color rgb="FF000000"/>
      <name val="Arial"/>
      <family val="2"/>
    </font>
    <font>
      <sz val="10"/>
      <name val="Arial"/>
      <family val="2"/>
    </font>
    <font>
      <i/>
      <sz val="10"/>
      <color rgb="FF000000"/>
      <name val="Arial"/>
      <family val="2"/>
    </font>
    <font>
      <i/>
      <sz val="10"/>
      <color rgb="FFFF0000"/>
      <name val="Arial"/>
      <family val="2"/>
    </font>
    <font>
      <b/>
      <sz val="10"/>
      <color rgb="FF000000"/>
      <name val="Arial"/>
      <family val="2"/>
    </font>
    <font>
      <i/>
      <sz val="10"/>
      <name val="Arial"/>
      <family val="2"/>
    </font>
    <font>
      <sz val="11"/>
      <name val="Calibri"/>
      <family val="2"/>
    </font>
    <font>
      <sz val="10"/>
      <color rgb="FF028009"/>
      <name val="Courier New"/>
      <family val="3"/>
    </font>
    <font>
      <sz val="12"/>
      <color theme="1"/>
      <name val="Courier New"/>
      <family val="3"/>
    </font>
    <font>
      <sz val="10"/>
      <color rgb="FF000000"/>
      <name val="Courier New"/>
      <family val="3"/>
    </font>
    <font>
      <sz val="11"/>
      <color theme="1"/>
      <name val="Consolas"/>
      <family val="3"/>
    </font>
    <font>
      <sz val="10"/>
      <color theme="1"/>
      <name val="Calibri"/>
      <family val="2"/>
      <scheme val="minor"/>
    </font>
    <font>
      <sz val="12"/>
      <color rgb="FF000000"/>
      <name val="Calibri"/>
      <family val="2"/>
      <scheme val="minor"/>
    </font>
    <font>
      <b/>
      <sz val="10"/>
      <color indexed="8"/>
      <name val="Arial"/>
      <family val="2"/>
    </font>
    <font>
      <b/>
      <sz val="10"/>
      <color theme="1"/>
      <name val="Arial"/>
      <family val="2"/>
    </font>
    <font>
      <sz val="10"/>
      <color indexed="8"/>
      <name val="Arial"/>
      <family val="2"/>
    </font>
    <font>
      <sz val="10"/>
      <color rgb="FFFF0000"/>
      <name val="Arial"/>
      <family val="2"/>
    </font>
    <font>
      <sz val="10"/>
      <color theme="1"/>
      <name val="Arial"/>
      <family val="2"/>
    </font>
    <font>
      <sz val="10"/>
      <color theme="9"/>
      <name val="Arial"/>
      <family val="2"/>
    </font>
    <font>
      <b/>
      <sz val="11"/>
      <name val="Calibri"/>
      <family val="2"/>
      <scheme val="minor"/>
    </font>
    <font>
      <b/>
      <sz val="10"/>
      <color indexed="10"/>
      <name val="Arial"/>
      <family val="2"/>
    </font>
    <font>
      <sz val="10"/>
      <color indexed="54"/>
      <name val="Arial"/>
      <family val="2"/>
    </font>
    <font>
      <b/>
      <sz val="10"/>
      <color theme="9"/>
      <name val="Arial"/>
      <family val="2"/>
    </font>
    <font>
      <b/>
      <sz val="36"/>
      <color theme="1"/>
      <name val="Calibri"/>
      <family val="2"/>
      <scheme val="minor"/>
    </font>
    <font>
      <sz val="11"/>
      <color theme="1"/>
      <name val="Calibri"/>
      <family val="2"/>
    </font>
    <font>
      <sz val="12"/>
      <name val="Calibri"/>
      <family val="2"/>
      <charset val="204"/>
      <scheme val="minor"/>
    </font>
    <font>
      <sz val="10"/>
      <name val="Calibri"/>
      <family val="2"/>
    </font>
    <font>
      <sz val="12"/>
      <color rgb="FFFF0000"/>
      <name val="Calibri"/>
      <family val="2"/>
      <charset val="204"/>
      <scheme val="minor"/>
    </font>
    <font>
      <u/>
      <sz val="12"/>
      <color theme="10"/>
      <name val="Calibri"/>
      <family val="2"/>
      <charset val="204"/>
      <scheme val="minor"/>
    </font>
    <font>
      <sz val="10"/>
      <name val="MS Sans Serif"/>
      <family val="2"/>
    </font>
    <font>
      <u/>
      <sz val="12"/>
      <name val="Calibri"/>
      <family val="2"/>
      <charset val="204"/>
      <scheme val="minor"/>
    </font>
    <font>
      <sz val="11"/>
      <name val="1"/>
    </font>
    <font>
      <b/>
      <sz val="12"/>
      <color theme="1"/>
      <name val="Calibri"/>
      <family val="2"/>
      <scheme val="minor"/>
    </font>
    <font>
      <b/>
      <sz val="12"/>
      <color theme="1"/>
      <name val="Calibri"/>
      <family val="2"/>
      <charset val="204"/>
      <scheme val="minor"/>
    </font>
    <font>
      <b/>
      <sz val="8"/>
      <color indexed="81"/>
      <name val="Tahoma"/>
      <family val="2"/>
    </font>
    <font>
      <sz val="8"/>
      <color indexed="81"/>
      <name val="Tahoma"/>
      <family val="2"/>
    </font>
    <font>
      <b/>
      <sz val="14"/>
      <name val="Arial"/>
    </font>
    <font>
      <u/>
      <sz val="10"/>
      <name val="Arial"/>
    </font>
    <font>
      <b/>
      <sz val="10"/>
      <name val="Arial"/>
    </font>
    <font>
      <i/>
      <sz val="9"/>
      <name val="Arial"/>
    </font>
    <font>
      <sz val="8"/>
      <name val="MS Sans Serif"/>
    </font>
    <font>
      <sz val="8"/>
      <color theme="5" tint="-0.24994659260841701"/>
      <name val="MS Sans Serif"/>
    </font>
  </fonts>
  <fills count="23">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rgb="FFFFFF00"/>
        <bgColor rgb="FF000000"/>
      </patternFill>
    </fill>
    <fill>
      <patternFill patternType="solid">
        <fgColor theme="0"/>
        <bgColor indexed="64"/>
      </patternFill>
    </fill>
    <fill>
      <patternFill patternType="solid">
        <fgColor theme="9" tint="0.79995117038483843"/>
        <bgColor indexed="64"/>
      </patternFill>
    </fill>
    <fill>
      <patternFill patternType="solid">
        <fgColor theme="6" tint="0.79995117038483843"/>
        <bgColor indexed="64"/>
      </patternFill>
    </fill>
    <fill>
      <patternFill patternType="solid">
        <fgColor theme="0" tint="-0.24994659260841701"/>
        <bgColor indexed="64"/>
      </patternFill>
    </fill>
    <fill>
      <patternFill patternType="solid">
        <fgColor theme="9" tint="0.39997558519241921"/>
        <bgColor indexed="64"/>
      </patternFill>
    </fill>
    <fill>
      <patternFill patternType="solid">
        <fgColor theme="7" tint="0.79995117038483843"/>
        <bgColor indexed="64"/>
      </patternFill>
    </fill>
    <fill>
      <patternFill patternType="solid">
        <fgColor rgb="FFFFC000"/>
        <bgColor indexed="64"/>
      </patternFill>
    </fill>
    <fill>
      <patternFill patternType="solid">
        <fgColor indexed="50"/>
        <bgColor indexed="64"/>
      </patternFill>
    </fill>
    <fill>
      <patternFill patternType="solid">
        <fgColor indexed="22"/>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4" tint="0.59996337778862885"/>
        <bgColor indexed="64"/>
      </patternFill>
    </fill>
    <fill>
      <patternFill patternType="solid">
        <fgColor theme="9" tint="-0.24994659260841701"/>
        <bgColor indexed="64"/>
      </patternFill>
    </fill>
    <fill>
      <patternFill patternType="solid">
        <fgColor theme="5" tint="-0.24994659260841701"/>
        <bgColor indexed="64"/>
      </patternFill>
    </fill>
    <fill>
      <patternFill patternType="solid">
        <fgColor theme="2" tint="-9.9978637043366805E-2"/>
        <bgColor indexed="64"/>
      </patternFill>
    </fill>
    <fill>
      <patternFill patternType="solid">
        <fgColor theme="7" tint="-0.49995422223578601"/>
        <bgColor indexed="64"/>
      </patternFill>
    </fill>
    <fill>
      <patternFill patternType="solid">
        <fgColor theme="9" tint="0.59996337778862885"/>
        <bgColor indexed="64"/>
      </patternFill>
    </fill>
    <fill>
      <patternFill patternType="solid">
        <fgColor theme="0" tint="-0.34998626667073579"/>
        <bgColor indexed="64"/>
      </patternFill>
    </fill>
  </fills>
  <borders count="34">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double">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s>
  <cellStyleXfs count="4">
    <xf numFmtId="0" fontId="0" fillId="0" borderId="0"/>
    <xf numFmtId="9" fontId="12" fillId="0" borderId="0" applyFont="0" applyFill="0" applyBorder="0" applyAlignment="0" applyProtection="0"/>
    <xf numFmtId="0" fontId="18" fillId="0" borderId="0"/>
    <xf numFmtId="0" fontId="48" fillId="0" borderId="0" applyNumberFormat="0" applyFill="0" applyBorder="0" applyAlignment="0" applyProtection="0"/>
  </cellStyleXfs>
  <cellXfs count="496">
    <xf numFmtId="0" fontId="0" fillId="0" borderId="0" xfId="0"/>
    <xf numFmtId="0" fontId="2" fillId="0" borderId="0" xfId="0" applyFont="1"/>
    <xf numFmtId="0" fontId="3" fillId="0" borderId="0" xfId="0" applyFont="1"/>
    <xf numFmtId="0" fontId="2" fillId="0" borderId="0" xfId="0" applyFont="1" applyAlignment="1">
      <alignment horizontal="center"/>
    </xf>
    <xf numFmtId="0" fontId="0" fillId="0" borderId="0" xfId="0" applyAlignment="1">
      <alignment horizontal="center"/>
    </xf>
    <xf numFmtId="0" fontId="3" fillId="0" borderId="1" xfId="0" applyFont="1" applyBorder="1"/>
    <xf numFmtId="2" fontId="3" fillId="0" borderId="2" xfId="0" applyNumberFormat="1" applyFont="1" applyBorder="1"/>
    <xf numFmtId="2" fontId="3" fillId="0" borderId="3" xfId="0" applyNumberFormat="1" applyFont="1" applyBorder="1"/>
    <xf numFmtId="0" fontId="4" fillId="0" borderId="0" xfId="0" applyFont="1"/>
    <xf numFmtId="0" fontId="3" fillId="0" borderId="4" xfId="0" applyFont="1" applyBorder="1"/>
    <xf numFmtId="2" fontId="3" fillId="0" borderId="5" xfId="0" applyNumberFormat="1" applyFont="1" applyBorder="1"/>
    <xf numFmtId="0" fontId="3" fillId="0" borderId="4" xfId="0" applyFont="1" applyBorder="1" applyAlignment="1">
      <alignment horizontal="right"/>
    </xf>
    <xf numFmtId="0" fontId="4" fillId="0" borderId="7" xfId="0" applyFont="1" applyBorder="1"/>
    <xf numFmtId="2" fontId="3" fillId="0" borderId="8" xfId="0" applyNumberFormat="1" applyFont="1" applyBorder="1"/>
    <xf numFmtId="2" fontId="3" fillId="0" borderId="9" xfId="0" applyNumberFormat="1" applyFont="1" applyBorder="1"/>
    <xf numFmtId="0" fontId="3" fillId="0" borderId="9" xfId="0" applyFont="1" applyBorder="1"/>
    <xf numFmtId="2" fontId="3" fillId="0" borderId="0" xfId="0" applyNumberFormat="1" applyFont="1"/>
    <xf numFmtId="0" fontId="3" fillId="2" borderId="0" xfId="0" applyFont="1" applyFill="1"/>
    <xf numFmtId="0" fontId="3" fillId="0" borderId="0" xfId="0" applyFont="1" applyFill="1"/>
    <xf numFmtId="0" fontId="4" fillId="0" borderId="10" xfId="0" applyFont="1" applyBorder="1"/>
    <xf numFmtId="0" fontId="4" fillId="0" borderId="3" xfId="0" applyFont="1" applyBorder="1"/>
    <xf numFmtId="0" fontId="3" fillId="0" borderId="0" xfId="0" applyFont="1" applyBorder="1"/>
    <xf numFmtId="0" fontId="3" fillId="0" borderId="6" xfId="0" applyFont="1" applyBorder="1"/>
    <xf numFmtId="0" fontId="3" fillId="0" borderId="6" xfId="0" applyFont="1" applyBorder="1" applyAlignment="1">
      <alignment horizontal="center"/>
    </xf>
    <xf numFmtId="0" fontId="3" fillId="0" borderId="1" xfId="0" applyFont="1" applyBorder="1" applyAlignment="1">
      <alignment horizontal="left" vertical="center"/>
    </xf>
    <xf numFmtId="0" fontId="6" fillId="0" borderId="0" xfId="0" applyFont="1" applyFill="1" applyBorder="1" applyAlignment="1">
      <alignment horizontal="center"/>
    </xf>
    <xf numFmtId="0" fontId="6" fillId="0" borderId="0" xfId="0" applyFont="1" applyFill="1" applyBorder="1" applyAlignment="1"/>
    <xf numFmtId="0" fontId="4" fillId="0" borderId="0" xfId="0" applyFont="1" applyFill="1" applyBorder="1"/>
    <xf numFmtId="0" fontId="3" fillId="0" borderId="4" xfId="0" applyFont="1" applyBorder="1" applyAlignment="1">
      <alignment horizontal="left" vertical="center"/>
    </xf>
    <xf numFmtId="2" fontId="4" fillId="0" borderId="0" xfId="0" applyNumberFormat="1" applyFont="1" applyFill="1" applyBorder="1"/>
    <xf numFmtId="0" fontId="3" fillId="0" borderId="7" xfId="0" applyFont="1" applyBorder="1" applyAlignment="1">
      <alignment horizontal="left" vertical="center"/>
    </xf>
    <xf numFmtId="0" fontId="7" fillId="0" borderId="0" xfId="0" applyFont="1"/>
    <xf numFmtId="0" fontId="8" fillId="0" borderId="0" xfId="0" applyFont="1"/>
    <xf numFmtId="0" fontId="1" fillId="0" borderId="0" xfId="0" applyFont="1"/>
    <xf numFmtId="0" fontId="9" fillId="0" borderId="0" xfId="0" applyFont="1"/>
    <xf numFmtId="0" fontId="3" fillId="0" borderId="0" xfId="0" applyFont="1" applyFill="1" applyBorder="1" applyAlignment="1">
      <alignment horizontal="left" vertical="center"/>
    </xf>
    <xf numFmtId="0" fontId="11" fillId="3" borderId="0" xfId="0" applyFont="1" applyFill="1"/>
    <xf numFmtId="0" fontId="7" fillId="3" borderId="0" xfId="0" applyFont="1" applyFill="1"/>
    <xf numFmtId="0" fontId="8" fillId="3" borderId="0" xfId="0" applyFont="1" applyFill="1"/>
    <xf numFmtId="0" fontId="0" fillId="3" borderId="0" xfId="0" applyFill="1"/>
    <xf numFmtId="2" fontId="4" fillId="0" borderId="7" xfId="0" applyNumberFormat="1" applyFont="1" applyBorder="1"/>
    <xf numFmtId="0" fontId="10" fillId="0" borderId="1" xfId="0" applyFont="1" applyBorder="1"/>
    <xf numFmtId="2" fontId="3" fillId="0" borderId="1" xfId="0" applyNumberFormat="1" applyFont="1" applyBorder="1"/>
    <xf numFmtId="2" fontId="3" fillId="0" borderId="4" xfId="0" applyNumberFormat="1" applyFont="1" applyBorder="1"/>
    <xf numFmtId="2" fontId="3" fillId="0" borderId="4" xfId="0" applyNumberFormat="1" applyFont="1" applyBorder="1" applyAlignment="1">
      <alignment horizontal="right"/>
    </xf>
    <xf numFmtId="0" fontId="5" fillId="0" borderId="5" xfId="0" applyFont="1" applyFill="1" applyBorder="1" applyAlignment="1">
      <alignment horizontal="left" vertical="center"/>
    </xf>
    <xf numFmtId="0" fontId="5" fillId="0" borderId="8" xfId="0" applyFont="1" applyFill="1" applyBorder="1" applyAlignment="1">
      <alignment horizontal="left" vertical="center"/>
    </xf>
    <xf numFmtId="0" fontId="14" fillId="0" borderId="1" xfId="0" applyFont="1" applyFill="1" applyBorder="1"/>
    <xf numFmtId="0" fontId="13" fillId="0" borderId="0" xfId="0" applyFont="1"/>
    <xf numFmtId="0" fontId="2" fillId="0" borderId="0" xfId="0" applyFont="1" applyAlignment="1">
      <alignment horizontal="left"/>
    </xf>
    <xf numFmtId="9" fontId="0" fillId="0" borderId="0" xfId="1" applyFont="1"/>
    <xf numFmtId="0" fontId="15" fillId="0" borderId="4" xfId="0" applyFont="1" applyBorder="1" applyAlignment="1">
      <alignment horizontal="left"/>
    </xf>
    <xf numFmtId="0" fontId="14" fillId="0" borderId="0" xfId="0" applyFont="1" applyBorder="1" applyAlignment="1">
      <alignment horizontal="center"/>
    </xf>
    <xf numFmtId="2" fontId="3" fillId="0" borderId="6" xfId="0" applyNumberFormat="1" applyFont="1" applyFill="1" applyBorder="1"/>
    <xf numFmtId="0" fontId="13" fillId="0" borderId="0" xfId="0" applyFont="1" applyAlignment="1">
      <alignment horizontal="left"/>
    </xf>
    <xf numFmtId="0" fontId="5" fillId="0" borderId="1" xfId="0" applyFont="1" applyFill="1" applyBorder="1" applyAlignment="1">
      <alignment horizontal="left" vertical="center"/>
    </xf>
    <xf numFmtId="0" fontId="3" fillId="0" borderId="4" xfId="0" applyFont="1" applyFill="1" applyBorder="1" applyAlignment="1">
      <alignment horizontal="left" vertical="center"/>
    </xf>
    <xf numFmtId="0" fontId="3" fillId="0" borderId="7" xfId="0" applyFont="1" applyFill="1" applyBorder="1" applyAlignment="1">
      <alignment horizontal="left" vertical="center"/>
    </xf>
    <xf numFmtId="0" fontId="5" fillId="0" borderId="2" xfId="0" applyFont="1" applyBorder="1" applyAlignment="1">
      <alignment horizontal="left" vertical="center"/>
    </xf>
    <xf numFmtId="0" fontId="11" fillId="0" borderId="0" xfId="0" applyFont="1"/>
    <xf numFmtId="0" fontId="16" fillId="0" borderId="1" xfId="0" applyFont="1" applyBorder="1" applyAlignment="1">
      <alignment vertical="center"/>
    </xf>
    <xf numFmtId="1" fontId="16" fillId="0" borderId="10" xfId="0" applyNumberFormat="1" applyFont="1" applyBorder="1" applyAlignment="1">
      <alignment vertical="center"/>
    </xf>
    <xf numFmtId="0" fontId="16" fillId="0" borderId="10" xfId="0" applyFont="1" applyBorder="1" applyAlignment="1">
      <alignment horizontal="left" vertical="center"/>
    </xf>
    <xf numFmtId="0" fontId="16" fillId="0" borderId="3" xfId="0" applyFont="1" applyBorder="1" applyAlignment="1">
      <alignment vertical="center"/>
    </xf>
    <xf numFmtId="0" fontId="16" fillId="0" borderId="10" xfId="0" applyFont="1" applyBorder="1" applyAlignment="1">
      <alignment vertical="center"/>
    </xf>
    <xf numFmtId="0" fontId="1" fillId="3" borderId="0" xfId="0" applyFont="1" applyFill="1"/>
    <xf numFmtId="14" fontId="11" fillId="0" borderId="0" xfId="0" applyNumberFormat="1" applyFont="1"/>
    <xf numFmtId="0" fontId="19" fillId="0" borderId="0" xfId="0" applyFont="1"/>
    <xf numFmtId="0" fontId="10" fillId="0" borderId="0" xfId="0" applyFont="1"/>
    <xf numFmtId="0" fontId="20" fillId="0" borderId="0" xfId="0" applyFont="1"/>
    <xf numFmtId="0" fontId="21" fillId="0" borderId="0" xfId="0" applyFont="1"/>
    <xf numFmtId="15" fontId="22" fillId="0" borderId="0" xfId="0" applyNumberFormat="1" applyFont="1"/>
    <xf numFmtId="0" fontId="2" fillId="4" borderId="0" xfId="0" applyFont="1" applyFill="1"/>
    <xf numFmtId="15" fontId="2" fillId="4" borderId="0" xfId="0" applyNumberFormat="1" applyFont="1" applyFill="1"/>
    <xf numFmtId="15" fontId="23" fillId="4" borderId="0" xfId="0" applyNumberFormat="1" applyFont="1" applyFill="1"/>
    <xf numFmtId="0" fontId="24" fillId="0" borderId="0" xfId="0" applyFont="1"/>
    <xf numFmtId="15" fontId="24" fillId="0" borderId="0" xfId="0" applyNumberFormat="1" applyFont="1"/>
    <xf numFmtId="0" fontId="21" fillId="4" borderId="0" xfId="0" applyFont="1" applyFill="1"/>
    <xf numFmtId="164" fontId="21" fillId="4" borderId="0" xfId="0" applyNumberFormat="1" applyFont="1" applyFill="1"/>
    <xf numFmtId="165" fontId="21" fillId="0" borderId="0" xfId="0" applyNumberFormat="1" applyFont="1"/>
    <xf numFmtId="164" fontId="20" fillId="0" borderId="0" xfId="0" applyNumberFormat="1" applyFont="1"/>
    <xf numFmtId="164" fontId="2" fillId="4" borderId="0" xfId="0" applyNumberFormat="1" applyFont="1" applyFill="1"/>
    <xf numFmtId="164" fontId="24" fillId="0" borderId="0" xfId="0" applyNumberFormat="1" applyFont="1"/>
    <xf numFmtId="0" fontId="25" fillId="4" borderId="0" xfId="0" applyFont="1" applyFill="1"/>
    <xf numFmtId="166" fontId="25" fillId="4" borderId="0" xfId="0" applyNumberFormat="1" applyFont="1" applyFill="1"/>
    <xf numFmtId="1" fontId="21" fillId="4" borderId="0" xfId="0" applyNumberFormat="1" applyFont="1" applyFill="1"/>
    <xf numFmtId="166" fontId="22" fillId="0" borderId="0" xfId="0" applyNumberFormat="1" applyFont="1"/>
    <xf numFmtId="0" fontId="0" fillId="0" borderId="0" xfId="0" applyAlignment="1">
      <alignment vertical="center"/>
    </xf>
    <xf numFmtId="0" fontId="27" fillId="0" borderId="0" xfId="0" applyFont="1" applyAlignment="1">
      <alignment horizontal="left" vertical="center" indent="5"/>
    </xf>
    <xf numFmtId="0" fontId="28" fillId="0" borderId="0" xfId="0" applyFont="1" applyAlignment="1">
      <alignment horizontal="left" vertical="center" indent="5"/>
    </xf>
    <xf numFmtId="0" fontId="29" fillId="0" borderId="0" xfId="0" applyFont="1" applyAlignment="1">
      <alignment horizontal="left" vertical="center" indent="5"/>
    </xf>
    <xf numFmtId="0" fontId="28"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32" fillId="0" borderId="0" xfId="0" applyFont="1"/>
    <xf numFmtId="0" fontId="11" fillId="0" borderId="0" xfId="0" applyFont="1" applyAlignment="1">
      <alignment vertical="center"/>
    </xf>
    <xf numFmtId="1" fontId="33" fillId="0" borderId="0" xfId="0" applyNumberFormat="1" applyFont="1" applyAlignment="1">
      <alignment horizontal="left"/>
    </xf>
    <xf numFmtId="2" fontId="2" fillId="0" borderId="0" xfId="0" applyNumberFormat="1" applyFont="1"/>
    <xf numFmtId="0" fontId="34" fillId="0" borderId="0" xfId="0" applyFont="1"/>
    <xf numFmtId="1" fontId="35" fillId="0" borderId="0" xfId="0" applyNumberFormat="1" applyFont="1" applyAlignment="1">
      <alignment horizontal="left"/>
    </xf>
    <xf numFmtId="2" fontId="0" fillId="0" borderId="0" xfId="0" applyNumberFormat="1"/>
    <xf numFmtId="0" fontId="36" fillId="0" borderId="0" xfId="0" applyFont="1"/>
    <xf numFmtId="2" fontId="0" fillId="0" borderId="0" xfId="0" quotePrefix="1" applyNumberFormat="1"/>
    <xf numFmtId="1" fontId="34" fillId="5" borderId="0" xfId="0" applyNumberFormat="1" applyFont="1" applyFill="1"/>
    <xf numFmtId="0" fontId="6" fillId="0" borderId="0" xfId="0" applyFont="1"/>
    <xf numFmtId="0" fontId="37" fillId="6" borderId="0" xfId="0" applyFont="1" applyFill="1"/>
    <xf numFmtId="0" fontId="21" fillId="6" borderId="0" xfId="0" applyFont="1" applyFill="1" applyAlignment="1">
      <alignment horizontal="left"/>
    </xf>
    <xf numFmtId="0" fontId="36" fillId="6" borderId="0" xfId="0" applyFont="1" applyFill="1"/>
    <xf numFmtId="0" fontId="0" fillId="6" borderId="0" xfId="0" applyFill="1"/>
    <xf numFmtId="1" fontId="38" fillId="6" borderId="0" xfId="0" applyNumberFormat="1" applyFont="1" applyFill="1"/>
    <xf numFmtId="1" fontId="6" fillId="6" borderId="0" xfId="0" applyNumberFormat="1" applyFont="1" applyFill="1"/>
    <xf numFmtId="0" fontId="21" fillId="6" borderId="0" xfId="0" applyFont="1" applyFill="1"/>
    <xf numFmtId="0" fontId="38" fillId="6" borderId="0" xfId="0" applyFont="1" applyFill="1"/>
    <xf numFmtId="2" fontId="38" fillId="6" borderId="0" xfId="0" applyNumberFormat="1" applyFont="1" applyFill="1" applyAlignment="1">
      <alignment horizontal="center"/>
    </xf>
    <xf numFmtId="167" fontId="38" fillId="6" borderId="0" xfId="0" applyNumberFormat="1" applyFont="1" applyFill="1"/>
    <xf numFmtId="168" fontId="38" fillId="6" borderId="0" xfId="0" applyNumberFormat="1" applyFont="1" applyFill="1" applyAlignment="1">
      <alignment horizontal="right"/>
    </xf>
    <xf numFmtId="15" fontId="38" fillId="6" borderId="0" xfId="0" applyNumberFormat="1" applyFont="1" applyFill="1"/>
    <xf numFmtId="1" fontId="21" fillId="7" borderId="0" xfId="0" applyNumberFormat="1" applyFont="1" applyFill="1"/>
    <xf numFmtId="164" fontId="38" fillId="7" borderId="0" xfId="0" applyNumberFormat="1" applyFont="1" applyFill="1"/>
    <xf numFmtId="164" fontId="38" fillId="6" borderId="0" xfId="0" applyNumberFormat="1" applyFont="1" applyFill="1"/>
    <xf numFmtId="2" fontId="21" fillId="6" borderId="0" xfId="0" applyNumberFormat="1" applyFont="1" applyFill="1" applyAlignment="1">
      <alignment horizontal="left"/>
    </xf>
    <xf numFmtId="2" fontId="0" fillId="6" borderId="0" xfId="0" applyNumberFormat="1" applyFill="1"/>
    <xf numFmtId="1" fontId="21" fillId="6" borderId="0" xfId="0" applyNumberFormat="1" applyFont="1" applyFill="1" applyAlignment="1">
      <alignment horizontal="left"/>
    </xf>
    <xf numFmtId="0" fontId="0" fillId="6" borderId="0" xfId="0" applyFill="1" applyAlignment="1">
      <alignment horizontal="left"/>
    </xf>
    <xf numFmtId="14" fontId="0" fillId="0" borderId="0" xfId="0" applyNumberFormat="1"/>
    <xf numFmtId="0" fontId="39" fillId="0" borderId="0" xfId="0" applyFont="1"/>
    <xf numFmtId="0" fontId="1" fillId="6" borderId="0" xfId="0" applyFont="1" applyFill="1"/>
    <xf numFmtId="2" fontId="36" fillId="6" borderId="0" xfId="0" applyNumberFormat="1" applyFont="1" applyFill="1"/>
    <xf numFmtId="1" fontId="36" fillId="6" borderId="0" xfId="0" applyNumberFormat="1" applyFont="1" applyFill="1"/>
    <xf numFmtId="0" fontId="0" fillId="2" borderId="0" xfId="0" applyFill="1"/>
    <xf numFmtId="0" fontId="11" fillId="2" borderId="0" xfId="0" applyFont="1" applyFill="1"/>
    <xf numFmtId="1" fontId="2" fillId="0" borderId="0" xfId="0" applyNumberFormat="1" applyFont="1"/>
    <xf numFmtId="167" fontId="34" fillId="0" borderId="0" xfId="0" applyNumberFormat="1" applyFont="1"/>
    <xf numFmtId="167" fontId="2" fillId="0" borderId="0" xfId="0" applyNumberFormat="1" applyFont="1"/>
    <xf numFmtId="2" fontId="2" fillId="0" borderId="0" xfId="0" applyNumberFormat="1" applyFont="1" applyAlignment="1">
      <alignment horizontal="center"/>
    </xf>
    <xf numFmtId="168" fontId="2" fillId="0" borderId="0" xfId="0" applyNumberFormat="1" applyFont="1" applyAlignment="1">
      <alignment horizontal="right"/>
    </xf>
    <xf numFmtId="169" fontId="2" fillId="0" borderId="0" xfId="0" applyNumberFormat="1" applyFont="1"/>
    <xf numFmtId="2" fontId="21" fillId="0" borderId="0" xfId="0" applyNumberFormat="1" applyFont="1" applyAlignment="1">
      <alignment horizontal="left"/>
    </xf>
    <xf numFmtId="2" fontId="37" fillId="0" borderId="0" xfId="0" applyNumberFormat="1" applyFont="1"/>
    <xf numFmtId="167" fontId="21" fillId="7" borderId="0" xfId="0" applyNumberFormat="1" applyFont="1" applyFill="1" applyAlignment="1">
      <alignment horizontal="right"/>
    </xf>
    <xf numFmtId="2" fontId="21" fillId="0" borderId="0" xfId="0" applyNumberFormat="1" applyFont="1"/>
    <xf numFmtId="0" fontId="0" fillId="0" borderId="0" xfId="0" applyAlignment="1">
      <alignment horizontal="left"/>
    </xf>
    <xf numFmtId="2" fontId="13" fillId="0" borderId="0" xfId="0" applyNumberFormat="1" applyFont="1"/>
    <xf numFmtId="1" fontId="0" fillId="0" borderId="0" xfId="0" applyNumberFormat="1"/>
    <xf numFmtId="167" fontId="37"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21" fillId="7" borderId="0" xfId="0" applyNumberFormat="1" applyFont="1" applyFill="1" applyAlignment="1">
      <alignment horizontal="right"/>
    </xf>
    <xf numFmtId="1" fontId="0" fillId="0" borderId="0" xfId="0" applyNumberFormat="1" applyAlignment="1">
      <alignment horizontal="left"/>
    </xf>
    <xf numFmtId="15" fontId="0" fillId="0" borderId="0" xfId="0" applyNumberFormat="1" applyAlignment="1">
      <alignment horizontal="left"/>
    </xf>
    <xf numFmtId="2" fontId="13" fillId="0" borderId="0" xfId="0" quotePrefix="1" applyNumberFormat="1" applyFont="1"/>
    <xf numFmtId="0" fontId="0" fillId="0" borderId="0" xfId="0" quotePrefix="1"/>
    <xf numFmtId="16" fontId="0" fillId="0" borderId="0" xfId="0" applyNumberFormat="1"/>
    <xf numFmtId="2" fontId="0" fillId="0" borderId="0" xfId="0" applyNumberFormat="1" applyAlignment="1">
      <alignment horizontal="left"/>
    </xf>
    <xf numFmtId="2" fontId="37" fillId="0" borderId="0" xfId="0" applyNumberFormat="1" applyFont="1" applyAlignment="1">
      <alignment horizontal="left"/>
    </xf>
    <xf numFmtId="167" fontId="40" fillId="0" borderId="0" xfId="0" applyNumberFormat="1" applyFont="1"/>
    <xf numFmtId="2" fontId="2" fillId="0" borderId="0" xfId="0" applyNumberFormat="1" applyFont="1" applyAlignment="1">
      <alignment horizontal="left"/>
    </xf>
    <xf numFmtId="0" fontId="41" fillId="0" borderId="0" xfId="0" applyFont="1"/>
    <xf numFmtId="0" fontId="35" fillId="0" borderId="0" xfId="0" applyFont="1" applyAlignment="1">
      <alignment horizontal="left"/>
    </xf>
    <xf numFmtId="1" fontId="41" fillId="0" borderId="0" xfId="0" applyNumberFormat="1" applyFont="1"/>
    <xf numFmtId="167" fontId="41" fillId="0" borderId="0" xfId="0" applyNumberFormat="1" applyFont="1"/>
    <xf numFmtId="2" fontId="41" fillId="0" borderId="0" xfId="0" applyNumberFormat="1" applyFont="1" applyAlignment="1">
      <alignment horizontal="center"/>
    </xf>
    <xf numFmtId="167" fontId="41" fillId="0" borderId="0" xfId="0" quotePrefix="1" applyNumberFormat="1" applyFont="1"/>
    <xf numFmtId="168" fontId="41" fillId="0" borderId="0" xfId="0" applyNumberFormat="1" applyFont="1" applyAlignment="1">
      <alignment horizontal="right"/>
    </xf>
    <xf numFmtId="169" fontId="41" fillId="0" borderId="0" xfId="0" applyNumberFormat="1" applyFont="1"/>
    <xf numFmtId="0" fontId="0" fillId="0" borderId="0" xfId="0" applyAlignment="1">
      <alignment wrapText="1"/>
    </xf>
    <xf numFmtId="0" fontId="37" fillId="0" borderId="0" xfId="0" applyFont="1"/>
    <xf numFmtId="0" fontId="21" fillId="0" borderId="0" xfId="0" applyFont="1" applyAlignment="1">
      <alignment horizontal="right"/>
    </xf>
    <xf numFmtId="1" fontId="21" fillId="0" borderId="0" xfId="0" applyNumberFormat="1" applyFont="1" applyAlignment="1">
      <alignment horizontal="left"/>
    </xf>
    <xf numFmtId="2" fontId="42" fillId="6" borderId="0" xfId="0" applyNumberFormat="1" applyFont="1" applyFill="1"/>
    <xf numFmtId="167" fontId="21" fillId="0" borderId="0" xfId="0" applyNumberFormat="1" applyFont="1"/>
    <xf numFmtId="1" fontId="38" fillId="0" borderId="0" xfId="0" applyNumberFormat="1" applyFont="1"/>
    <xf numFmtId="1" fontId="21" fillId="0" borderId="0" xfId="0" applyNumberFormat="1" applyFont="1"/>
    <xf numFmtId="0" fontId="38" fillId="0" borderId="0" xfId="0" applyFont="1"/>
    <xf numFmtId="2" fontId="6" fillId="0" borderId="0" xfId="0" applyNumberFormat="1" applyFont="1"/>
    <xf numFmtId="1" fontId="36" fillId="0" borderId="0" xfId="0" applyNumberFormat="1" applyFont="1"/>
    <xf numFmtId="167" fontId="36" fillId="0" borderId="0" xfId="0" applyNumberFormat="1" applyFont="1"/>
    <xf numFmtId="1" fontId="36" fillId="0" borderId="0" xfId="0" applyNumberFormat="1" applyFont="1" applyAlignment="1">
      <alignment horizontal="left"/>
    </xf>
    <xf numFmtId="0" fontId="43" fillId="0" borderId="0" xfId="0" applyFont="1"/>
    <xf numFmtId="0" fontId="13" fillId="3" borderId="0" xfId="0" applyFont="1" applyFill="1"/>
    <xf numFmtId="0" fontId="45" fillId="8" borderId="0" xfId="0" applyFont="1" applyFill="1"/>
    <xf numFmtId="2" fontId="45" fillId="8" borderId="0" xfId="0" applyNumberFormat="1" applyFont="1" applyFill="1"/>
    <xf numFmtId="167" fontId="45" fillId="8" borderId="0" xfId="0" applyNumberFormat="1" applyFont="1" applyFill="1"/>
    <xf numFmtId="167" fontId="45" fillId="8" borderId="0" xfId="0" applyNumberFormat="1" applyFont="1" applyFill="1" applyAlignment="1">
      <alignment horizontal="center"/>
    </xf>
    <xf numFmtId="14" fontId="45" fillId="8" borderId="0" xfId="0" applyNumberFormat="1" applyFont="1" applyFill="1"/>
    <xf numFmtId="2" fontId="45" fillId="8" borderId="4" xfId="0" applyNumberFormat="1" applyFont="1" applyFill="1" applyBorder="1"/>
    <xf numFmtId="14" fontId="21" fillId="8" borderId="0" xfId="0" applyNumberFormat="1" applyFont="1" applyFill="1"/>
    <xf numFmtId="167" fontId="21" fillId="8" borderId="0" xfId="0" applyNumberFormat="1" applyFont="1" applyFill="1" applyAlignment="1">
      <alignment horizontal="center"/>
    </xf>
    <xf numFmtId="0" fontId="45" fillId="8" borderId="4" xfId="0" applyFont="1" applyFill="1" applyBorder="1"/>
    <xf numFmtId="167" fontId="45" fillId="8" borderId="0" xfId="0" quotePrefix="1" applyNumberFormat="1" applyFont="1" applyFill="1"/>
    <xf numFmtId="0" fontId="45" fillId="0" borderId="0" xfId="0" applyFont="1"/>
    <xf numFmtId="14" fontId="10" fillId="0" borderId="0" xfId="0" applyNumberFormat="1" applyFont="1"/>
    <xf numFmtId="170" fontId="0" fillId="0" borderId="0" xfId="0" applyNumberFormat="1"/>
    <xf numFmtId="0" fontId="47" fillId="0" borderId="0" xfId="0" applyFont="1"/>
    <xf numFmtId="0" fontId="46" fillId="0" borderId="0" xfId="0" applyFont="1"/>
    <xf numFmtId="10" fontId="45" fillId="0" borderId="0" xfId="1" applyNumberFormat="1" applyFont="1"/>
    <xf numFmtId="171" fontId="45" fillId="0" borderId="0" xfId="0" applyNumberFormat="1" applyFont="1"/>
    <xf numFmtId="171" fontId="47" fillId="0" borderId="0" xfId="0" applyNumberFormat="1" applyFont="1"/>
    <xf numFmtId="0" fontId="45" fillId="0" borderId="11" xfId="0" applyFont="1" applyBorder="1"/>
    <xf numFmtId="170" fontId="45" fillId="0" borderId="0" xfId="0" applyNumberFormat="1" applyFont="1"/>
    <xf numFmtId="0" fontId="21" fillId="0" borderId="11" xfId="0" applyFont="1" applyBorder="1"/>
    <xf numFmtId="0" fontId="0" fillId="0" borderId="11" xfId="0" applyBorder="1"/>
    <xf numFmtId="0" fontId="21" fillId="0" borderId="12" xfId="0" applyFont="1" applyBorder="1"/>
    <xf numFmtId="0" fontId="0" fillId="0" borderId="12" xfId="0" applyBorder="1"/>
    <xf numFmtId="170" fontId="45" fillId="0" borderId="11" xfId="0" applyNumberFormat="1" applyFont="1" applyBorder="1"/>
    <xf numFmtId="0" fontId="45" fillId="0" borderId="12" xfId="0" applyFont="1" applyBorder="1"/>
    <xf numFmtId="0" fontId="46" fillId="0" borderId="12" xfId="0" applyFont="1" applyBorder="1"/>
    <xf numFmtId="170" fontId="45" fillId="0" borderId="12" xfId="0" applyNumberFormat="1" applyFont="1" applyBorder="1"/>
    <xf numFmtId="0" fontId="3" fillId="0" borderId="11" xfId="0" applyFont="1" applyBorder="1"/>
    <xf numFmtId="0" fontId="3" fillId="0" borderId="12" xfId="0" applyFont="1" applyBorder="1"/>
    <xf numFmtId="0" fontId="39" fillId="0" borderId="0" xfId="0" applyFont="1" applyFill="1"/>
    <xf numFmtId="14" fontId="39" fillId="0" borderId="0" xfId="0" applyNumberFormat="1" applyFont="1" applyFill="1"/>
    <xf numFmtId="0" fontId="11" fillId="0" borderId="0" xfId="0" applyFont="1" applyFill="1"/>
    <xf numFmtId="1" fontId="11" fillId="0" borderId="0" xfId="0" applyNumberFormat="1" applyFont="1" applyFill="1"/>
    <xf numFmtId="2" fontId="11" fillId="0" borderId="0" xfId="0" applyNumberFormat="1" applyFont="1" applyFill="1"/>
    <xf numFmtId="167" fontId="11" fillId="0" borderId="0" xfId="0" applyNumberFormat="1" applyFont="1" applyFill="1"/>
    <xf numFmtId="14" fontId="11" fillId="0" borderId="0" xfId="0" applyNumberFormat="1" applyFont="1" applyFill="1"/>
    <xf numFmtId="0" fontId="11" fillId="0" borderId="11" xfId="0" applyFont="1" applyFill="1" applyBorder="1"/>
    <xf numFmtId="2" fontId="11" fillId="0" borderId="11" xfId="0" applyNumberFormat="1" applyFont="1" applyFill="1" applyBorder="1"/>
    <xf numFmtId="167" fontId="11" fillId="0" borderId="11" xfId="0" applyNumberFormat="1" applyFont="1" applyFill="1" applyBorder="1"/>
    <xf numFmtId="167" fontId="39" fillId="3" borderId="0" xfId="0" applyNumberFormat="1" applyFont="1" applyFill="1"/>
    <xf numFmtId="1" fontId="39" fillId="0" borderId="0" xfId="0" applyNumberFormat="1" applyFont="1"/>
    <xf numFmtId="172" fontId="39" fillId="0" borderId="0" xfId="0" applyNumberFormat="1" applyFont="1"/>
    <xf numFmtId="0" fontId="39" fillId="0" borderId="0" xfId="0" applyFont="1" applyAlignment="1">
      <alignment horizontal="center" vertical="center"/>
    </xf>
    <xf numFmtId="172" fontId="39" fillId="0" borderId="0" xfId="0" applyNumberFormat="1" applyFont="1" applyAlignment="1">
      <alignment horizontal="left"/>
    </xf>
    <xf numFmtId="1" fontId="39" fillId="0" borderId="0" xfId="0" applyNumberFormat="1" applyFont="1" applyAlignment="1">
      <alignment horizontal="left"/>
    </xf>
    <xf numFmtId="167" fontId="39" fillId="0" borderId="0" xfId="0" applyNumberFormat="1" applyFont="1" applyAlignment="1">
      <alignment horizontal="center"/>
    </xf>
    <xf numFmtId="14" fontId="2" fillId="0" borderId="0" xfId="0" applyNumberFormat="1" applyFont="1" applyAlignment="1">
      <alignment horizontal="left"/>
    </xf>
    <xf numFmtId="0" fontId="39" fillId="0" borderId="0" xfId="0" applyFont="1" applyAlignment="1">
      <alignment horizontal="center"/>
    </xf>
    <xf numFmtId="0" fontId="11" fillId="0" borderId="0" xfId="0" applyFont="1" applyAlignment="1">
      <alignment horizontal="left"/>
    </xf>
    <xf numFmtId="1" fontId="11" fillId="0" borderId="0" xfId="0" applyNumberFormat="1" applyFont="1" applyAlignment="1">
      <alignment horizontal="left"/>
    </xf>
    <xf numFmtId="172" fontId="11" fillId="0" borderId="0" xfId="0" applyNumberFormat="1" applyFont="1" applyAlignment="1">
      <alignment horizontal="left"/>
    </xf>
    <xf numFmtId="0" fontId="11" fillId="0" borderId="0" xfId="0" applyFont="1" applyAlignment="1">
      <alignment horizontal="left" vertical="center"/>
    </xf>
    <xf numFmtId="167" fontId="26" fillId="0" borderId="0" xfId="0" applyNumberFormat="1" applyFont="1" applyAlignment="1">
      <alignment horizontal="left"/>
    </xf>
    <xf numFmtId="14" fontId="21" fillId="0" borderId="0" xfId="0" applyNumberFormat="1" applyFont="1" applyAlignment="1">
      <alignment horizontal="left"/>
    </xf>
    <xf numFmtId="0" fontId="26" fillId="0" borderId="0" xfId="0" applyFont="1" applyAlignment="1">
      <alignment horizontal="left"/>
    </xf>
    <xf numFmtId="0" fontId="49" fillId="0" borderId="0" xfId="2" applyFont="1" applyAlignment="1">
      <alignment horizontal="left"/>
    </xf>
    <xf numFmtId="0" fontId="50" fillId="0" borderId="0" xfId="3" applyFont="1" applyFill="1"/>
    <xf numFmtId="1" fontId="11" fillId="3" borderId="0" xfId="0" applyNumberFormat="1" applyFont="1" applyFill="1" applyAlignment="1">
      <alignment horizontal="left"/>
    </xf>
    <xf numFmtId="0" fontId="21" fillId="0" borderId="0" xfId="0" applyFont="1" applyAlignment="1">
      <alignment horizontal="left"/>
    </xf>
    <xf numFmtId="0" fontId="3" fillId="0" borderId="0" xfId="0" applyFont="1" applyAlignment="1">
      <alignment horizontal="left"/>
    </xf>
    <xf numFmtId="1" fontId="26" fillId="0" borderId="0" xfId="0" applyNumberFormat="1" applyFont="1" applyAlignment="1">
      <alignment horizontal="left"/>
    </xf>
    <xf numFmtId="0" fontId="45" fillId="0" borderId="0" xfId="3" applyFont="1" applyFill="1"/>
    <xf numFmtId="0" fontId="26" fillId="0" borderId="0" xfId="0" quotePrefix="1" applyFont="1" applyAlignment="1">
      <alignment horizontal="left"/>
    </xf>
    <xf numFmtId="0" fontId="3" fillId="3" borderId="0" xfId="0" applyFont="1" applyFill="1" applyAlignment="1">
      <alignment horizontal="left"/>
    </xf>
    <xf numFmtId="0" fontId="3" fillId="0" borderId="0" xfId="0" applyFont="1" applyAlignment="1">
      <alignment horizontal="left" vertical="center"/>
    </xf>
    <xf numFmtId="172" fontId="3" fillId="0" borderId="0" xfId="0" applyNumberFormat="1" applyFont="1" applyAlignment="1">
      <alignment horizontal="left"/>
    </xf>
    <xf numFmtId="10" fontId="26" fillId="0" borderId="0" xfId="0" applyNumberFormat="1" applyFont="1" applyAlignment="1">
      <alignment horizontal="right"/>
    </xf>
    <xf numFmtId="173" fontId="26" fillId="0" borderId="0" xfId="1" applyNumberFormat="1" applyFont="1" applyFill="1" applyAlignment="1">
      <alignment horizontal="left"/>
    </xf>
    <xf numFmtId="2" fontId="26" fillId="0" borderId="0" xfId="0" applyNumberFormat="1" applyFont="1" applyAlignment="1">
      <alignment horizontal="left"/>
    </xf>
    <xf numFmtId="173" fontId="26" fillId="0" borderId="0" xfId="0" applyNumberFormat="1" applyFont="1" applyAlignment="1">
      <alignment horizontal="left"/>
    </xf>
    <xf numFmtId="0" fontId="21" fillId="0" borderId="0" xfId="0" applyFont="1" applyAlignment="1">
      <alignment horizontal="left" vertical="center"/>
    </xf>
    <xf numFmtId="0" fontId="11" fillId="3" borderId="0" xfId="0" applyFont="1" applyFill="1" applyAlignment="1">
      <alignment horizontal="left"/>
    </xf>
    <xf numFmtId="2" fontId="11" fillId="3" borderId="0" xfId="0" applyNumberFormat="1" applyFont="1" applyFill="1"/>
    <xf numFmtId="167" fontId="3" fillId="3" borderId="0" xfId="0" applyNumberFormat="1" applyFont="1" applyFill="1"/>
    <xf numFmtId="167" fontId="11" fillId="3" borderId="0" xfId="0" applyNumberFormat="1" applyFont="1" applyFill="1"/>
    <xf numFmtId="1" fontId="11" fillId="0" borderId="0" xfId="0" applyNumberFormat="1" applyFont="1"/>
    <xf numFmtId="2" fontId="11" fillId="0" borderId="0" xfId="0" applyNumberFormat="1" applyFont="1"/>
    <xf numFmtId="167" fontId="3" fillId="0" borderId="0" xfId="0" applyNumberFormat="1" applyFont="1"/>
    <xf numFmtId="1" fontId="3" fillId="0" borderId="0" xfId="0" applyNumberFormat="1" applyFont="1"/>
    <xf numFmtId="167" fontId="11" fillId="0" borderId="0" xfId="0" applyNumberFormat="1" applyFont="1"/>
    <xf numFmtId="167" fontId="1" fillId="0" borderId="0" xfId="0" applyNumberFormat="1" applyFont="1"/>
    <xf numFmtId="15" fontId="0" fillId="0" borderId="0" xfId="0" applyNumberFormat="1"/>
    <xf numFmtId="2" fontId="0" fillId="8" borderId="0" xfId="0" applyNumberFormat="1" applyFill="1"/>
    <xf numFmtId="2" fontId="52" fillId="0" borderId="0" xfId="0" applyNumberFormat="1" applyFont="1"/>
    <xf numFmtId="0" fontId="53" fillId="0" borderId="0" xfId="0" applyFont="1"/>
    <xf numFmtId="0" fontId="52" fillId="0" borderId="0" xfId="0" applyFont="1"/>
    <xf numFmtId="167" fontId="52" fillId="0" borderId="0" xfId="0" applyNumberFormat="1" applyFont="1"/>
    <xf numFmtId="15" fontId="21" fillId="0" borderId="0" xfId="0" applyNumberFormat="1" applyFont="1"/>
    <xf numFmtId="0" fontId="0" fillId="9" borderId="0" xfId="0" applyFill="1"/>
    <xf numFmtId="0" fontId="0" fillId="8" borderId="0" xfId="0" applyFill="1"/>
    <xf numFmtId="0" fontId="11" fillId="9" borderId="0" xfId="0" applyFont="1" applyFill="1"/>
    <xf numFmtId="9" fontId="0" fillId="0" borderId="0" xfId="0" applyNumberFormat="1"/>
    <xf numFmtId="2" fontId="39" fillId="0" borderId="0" xfId="0" applyNumberFormat="1" applyFont="1"/>
    <xf numFmtId="10" fontId="1" fillId="0" borderId="0" xfId="1" applyNumberFormat="1" applyFont="1"/>
    <xf numFmtId="14" fontId="1" fillId="0" borderId="0" xfId="0" applyNumberFormat="1" applyFont="1"/>
    <xf numFmtId="170" fontId="1" fillId="0" borderId="0" xfId="0" applyNumberFormat="1" applyFont="1"/>
    <xf numFmtId="0" fontId="0" fillId="10" borderId="0" xfId="0" applyFill="1"/>
    <xf numFmtId="14" fontId="0" fillId="10" borderId="0" xfId="0" applyNumberFormat="1" applyFill="1"/>
    <xf numFmtId="9" fontId="0" fillId="10" borderId="0" xfId="0" applyNumberFormat="1" applyFill="1"/>
    <xf numFmtId="0" fontId="11" fillId="10" borderId="0" xfId="0" applyFont="1" applyFill="1"/>
    <xf numFmtId="10" fontId="39" fillId="3" borderId="0" xfId="1" applyNumberFormat="1" applyFont="1" applyFill="1"/>
    <xf numFmtId="2" fontId="11" fillId="10" borderId="0" xfId="0" applyNumberFormat="1" applyFont="1" applyFill="1"/>
    <xf numFmtId="10" fontId="39" fillId="10" borderId="0" xfId="1" applyNumberFormat="1" applyFont="1" applyFill="1"/>
    <xf numFmtId="1" fontId="21" fillId="0" borderId="0" xfId="0" applyNumberFormat="1" applyFont="1" applyAlignment="1">
      <alignment horizontal="right"/>
    </xf>
    <xf numFmtId="0" fontId="0" fillId="0" borderId="0" xfId="0" applyFill="1"/>
    <xf numFmtId="0" fontId="0" fillId="0" borderId="13" xfId="0" applyBorder="1"/>
    <xf numFmtId="14" fontId="0" fillId="0" borderId="13" xfId="0" applyNumberFormat="1" applyBorder="1"/>
    <xf numFmtId="0" fontId="0" fillId="3" borderId="13" xfId="0" applyFill="1" applyBorder="1"/>
    <xf numFmtId="0" fontId="0" fillId="0" borderId="14" xfId="0" applyBorder="1"/>
    <xf numFmtId="0" fontId="0" fillId="3" borderId="14" xfId="0" applyFill="1" applyBorder="1"/>
    <xf numFmtId="0" fontId="0" fillId="0" borderId="8" xfId="0" applyBorder="1"/>
    <xf numFmtId="0" fontId="0" fillId="3" borderId="8" xfId="0" applyFill="1" applyBorder="1"/>
    <xf numFmtId="0" fontId="52" fillId="11" borderId="0" xfId="0" applyFont="1" applyFill="1"/>
    <xf numFmtId="0" fontId="0" fillId="11" borderId="0" xfId="0" applyFill="1"/>
    <xf numFmtId="174"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1"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Alignment="1">
      <alignment horizontal="center" vertical="top" wrapText="1"/>
    </xf>
    <xf numFmtId="0" fontId="52" fillId="0" borderId="15" xfId="0" applyFont="1" applyBorder="1" applyAlignment="1">
      <alignment vertical="top"/>
    </xf>
    <xf numFmtId="0" fontId="0" fillId="0" borderId="16" xfId="0" applyBorder="1" applyAlignment="1">
      <alignment vertical="top"/>
    </xf>
    <xf numFmtId="0" fontId="0" fillId="0" borderId="17" xfId="0" applyBorder="1"/>
    <xf numFmtId="174" fontId="0" fillId="0" borderId="11" xfId="0" applyNumberFormat="1" applyBorder="1" applyAlignment="1">
      <alignment vertical="top" wrapText="1"/>
    </xf>
    <xf numFmtId="1" fontId="0" fillId="0" borderId="11" xfId="0" applyNumberFormat="1" applyBorder="1" applyAlignment="1">
      <alignment vertical="top" wrapText="1"/>
    </xf>
    <xf numFmtId="0" fontId="0" fillId="0" borderId="11" xfId="0" applyBorder="1" applyAlignment="1">
      <alignment vertical="top" wrapText="1"/>
    </xf>
    <xf numFmtId="0" fontId="0" fillId="0" borderId="11"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xf>
    <xf numFmtId="0" fontId="52" fillId="0" borderId="18" xfId="0" applyFont="1" applyBorder="1" applyAlignment="1">
      <alignment vertical="top" wrapText="1"/>
    </xf>
    <xf numFmtId="2" fontId="13" fillId="0" borderId="4" xfId="0" applyNumberFormat="1" applyFont="1" applyBorder="1" applyAlignment="1">
      <alignment vertical="top" wrapText="1"/>
    </xf>
    <xf numFmtId="0" fontId="52" fillId="0" borderId="0" xfId="0" applyFont="1" applyAlignment="1">
      <alignment vertical="center" wrapText="1"/>
    </xf>
    <xf numFmtId="0" fontId="52" fillId="0" borderId="19" xfId="0" applyFont="1" applyBorder="1" applyAlignment="1">
      <alignment wrapText="1"/>
    </xf>
    <xf numFmtId="0" fontId="0" fillId="12" borderId="0" xfId="0" applyFill="1"/>
    <xf numFmtId="2" fontId="0" fillId="12" borderId="0" xfId="0" applyNumberFormat="1" applyFill="1"/>
    <xf numFmtId="0" fontId="52" fillId="0" borderId="0" xfId="0" applyFont="1" applyAlignment="1">
      <alignment wrapText="1"/>
    </xf>
    <xf numFmtId="174" fontId="0" fillId="0" borderId="0" xfId="0" applyNumberFormat="1"/>
    <xf numFmtId="0" fontId="3" fillId="0" borderId="18" xfId="0" applyFont="1" applyBorder="1" applyAlignment="1">
      <alignment vertical="top"/>
    </xf>
    <xf numFmtId="0" fontId="3" fillId="0" borderId="0" xfId="0" applyFont="1" applyAlignment="1">
      <alignment vertical="top"/>
    </xf>
    <xf numFmtId="2" fontId="0" fillId="3" borderId="9" xfId="0" applyNumberFormat="1" applyFill="1" applyBorder="1" applyAlignment="1">
      <alignment vertical="top" wrapText="1"/>
    </xf>
    <xf numFmtId="2" fontId="10" fillId="0" borderId="0" xfId="0" applyNumberFormat="1" applyFont="1"/>
    <xf numFmtId="174" fontId="11" fillId="0" borderId="0" xfId="0" applyNumberFormat="1" applyFont="1"/>
    <xf numFmtId="2" fontId="10" fillId="0" borderId="0" xfId="0" applyNumberFormat="1" applyFont="1" applyAlignment="1">
      <alignment vertical="top"/>
    </xf>
    <xf numFmtId="2" fontId="10" fillId="0" borderId="19" xfId="0" applyNumberFormat="1" applyFont="1" applyBorder="1"/>
    <xf numFmtId="2" fontId="10" fillId="0" borderId="12" xfId="0" applyNumberFormat="1" applyFont="1" applyBorder="1"/>
    <xf numFmtId="2" fontId="10" fillId="0" borderId="21" xfId="0" applyNumberFormat="1" applyFont="1" applyBorder="1"/>
    <xf numFmtId="0" fontId="0" fillId="0" borderId="22" xfId="0" applyBorder="1" applyAlignment="1">
      <alignment horizontal="right"/>
    </xf>
    <xf numFmtId="0" fontId="0" fillId="0" borderId="25" xfId="0" applyBorder="1" applyAlignment="1">
      <alignment horizontal="right"/>
    </xf>
    <xf numFmtId="0" fontId="0" fillId="0" borderId="27" xfId="0" applyBorder="1" applyAlignment="1">
      <alignment horizontal="right"/>
    </xf>
    <xf numFmtId="0" fontId="0" fillId="0" borderId="0" xfId="0" applyAlignment="1">
      <alignment horizontal="right"/>
    </xf>
    <xf numFmtId="0" fontId="57" fillId="0" borderId="0" xfId="0" applyFont="1"/>
    <xf numFmtId="0" fontId="2" fillId="3" borderId="0" xfId="2" applyFont="1" applyFill="1"/>
    <xf numFmtId="2" fontId="10" fillId="3" borderId="0" xfId="0" applyNumberFormat="1" applyFont="1" applyFill="1"/>
    <xf numFmtId="0" fontId="52" fillId="3" borderId="0" xfId="0" applyFont="1" applyFill="1"/>
    <xf numFmtId="0" fontId="2" fillId="0" borderId="0" xfId="0" applyFont="1" applyAlignment="1">
      <alignment wrapText="1"/>
    </xf>
    <xf numFmtId="0" fontId="2" fillId="0" borderId="0" xfId="2" applyFont="1"/>
    <xf numFmtId="0" fontId="2" fillId="14" borderId="0" xfId="0" applyFont="1" applyFill="1"/>
    <xf numFmtId="0" fontId="0" fillId="0" borderId="0" xfId="0" applyAlignment="1"/>
    <xf numFmtId="14" fontId="11" fillId="0" borderId="13" xfId="0" applyNumberFormat="1" applyFont="1" applyBorder="1"/>
    <xf numFmtId="0" fontId="11" fillId="0" borderId="13" xfId="0" applyFont="1" applyBorder="1"/>
    <xf numFmtId="0" fontId="11" fillId="0" borderId="30" xfId="0" applyFont="1" applyBorder="1"/>
    <xf numFmtId="0" fontId="11" fillId="0" borderId="8" xfId="0" applyFont="1" applyBorder="1"/>
    <xf numFmtId="14" fontId="11" fillId="0" borderId="8" xfId="0" applyNumberFormat="1" applyFont="1" applyBorder="1"/>
    <xf numFmtId="14" fontId="11" fillId="2" borderId="13" xfId="0" applyNumberFormat="1" applyFont="1" applyFill="1" applyBorder="1"/>
    <xf numFmtId="0" fontId="11" fillId="2" borderId="13" xfId="0" applyFont="1" applyFill="1" applyBorder="1"/>
    <xf numFmtId="0" fontId="39" fillId="2" borderId="13" xfId="0" applyFont="1" applyFill="1" applyBorder="1"/>
    <xf numFmtId="14" fontId="11" fillId="2" borderId="8" xfId="0" applyNumberFormat="1" applyFont="1" applyFill="1" applyBorder="1"/>
    <xf numFmtId="0" fontId="0" fillId="14" borderId="0" xfId="0" applyFill="1"/>
    <xf numFmtId="2" fontId="0" fillId="2" borderId="0" xfId="0" applyNumberFormat="1" applyFill="1"/>
    <xf numFmtId="10" fontId="0" fillId="2" borderId="0" xfId="1" applyNumberFormat="1" applyFont="1" applyFill="1"/>
    <xf numFmtId="0" fontId="13" fillId="2" borderId="0" xfId="0" applyFont="1" applyFill="1"/>
    <xf numFmtId="14" fontId="11" fillId="15" borderId="8" xfId="0" applyNumberFormat="1" applyFont="1" applyFill="1" applyBorder="1"/>
    <xf numFmtId="0" fontId="11" fillId="15" borderId="13" xfId="0" applyFont="1" applyFill="1" applyBorder="1"/>
    <xf numFmtId="0" fontId="0" fillId="15" borderId="0" xfId="0" applyFill="1"/>
    <xf numFmtId="2" fontId="0" fillId="15" borderId="0" xfId="0" applyNumberFormat="1" applyFill="1"/>
    <xf numFmtId="10" fontId="0" fillId="15" borderId="0" xfId="1" applyNumberFormat="1" applyFont="1" applyFill="1"/>
    <xf numFmtId="14" fontId="11" fillId="15" borderId="13" xfId="0" applyNumberFormat="1" applyFont="1" applyFill="1" applyBorder="1"/>
    <xf numFmtId="0" fontId="0" fillId="0" borderId="0" xfId="0"/>
    <xf numFmtId="14" fontId="11" fillId="3" borderId="13" xfId="0" applyNumberFormat="1" applyFont="1" applyFill="1" applyBorder="1"/>
    <xf numFmtId="0" fontId="11" fillId="3" borderId="13" xfId="0" applyFont="1" applyFill="1" applyBorder="1"/>
    <xf numFmtId="2" fontId="21" fillId="3" borderId="13" xfId="0" applyNumberFormat="1" applyFont="1" applyFill="1" applyBorder="1"/>
    <xf numFmtId="2" fontId="0" fillId="3" borderId="0" xfId="0" applyNumberFormat="1" applyFill="1"/>
    <xf numFmtId="0" fontId="11" fillId="3" borderId="30" xfId="0" applyFont="1" applyFill="1" applyBorder="1"/>
    <xf numFmtId="2" fontId="21" fillId="3" borderId="30" xfId="0" applyNumberFormat="1" applyFont="1" applyFill="1" applyBorder="1"/>
    <xf numFmtId="10" fontId="0" fillId="3" borderId="0" xfId="1" applyNumberFormat="1" applyFont="1" applyFill="1"/>
    <xf numFmtId="0" fontId="0" fillId="16" borderId="0" xfId="0" applyFill="1"/>
    <xf numFmtId="14" fontId="11" fillId="16" borderId="13" xfId="0" applyNumberFormat="1" applyFont="1" applyFill="1" applyBorder="1"/>
    <xf numFmtId="0" fontId="11" fillId="16" borderId="13" xfId="0" applyFont="1" applyFill="1" applyBorder="1"/>
    <xf numFmtId="2" fontId="0" fillId="16" borderId="0" xfId="0" applyNumberFormat="1" applyFill="1"/>
    <xf numFmtId="14" fontId="11" fillId="16" borderId="8" xfId="0" applyNumberFormat="1" applyFont="1" applyFill="1" applyBorder="1"/>
    <xf numFmtId="14" fontId="11" fillId="3" borderId="8" xfId="0" applyNumberFormat="1" applyFont="1" applyFill="1" applyBorder="1"/>
    <xf numFmtId="0" fontId="13" fillId="0" borderId="9" xfId="0" applyFont="1" applyBorder="1" applyAlignment="1">
      <alignment horizontal="center"/>
    </xf>
    <xf numFmtId="0" fontId="13" fillId="0" borderId="8" xfId="0" applyFont="1" applyBorder="1" applyAlignment="1">
      <alignment horizontal="center"/>
    </xf>
    <xf numFmtId="0" fontId="13" fillId="0" borderId="7" xfId="0" applyFont="1" applyBorder="1" applyAlignment="1">
      <alignment horizontal="center"/>
    </xf>
    <xf numFmtId="1" fontId="60" fillId="0" borderId="6" xfId="2" applyNumberFormat="1" applyFont="1" applyBorder="1" applyAlignment="1">
      <alignment horizontal="center" vertical="top"/>
    </xf>
    <xf numFmtId="2" fontId="60" fillId="0" borderId="5" xfId="2" applyNumberFormat="1" applyFont="1" applyBorder="1" applyAlignment="1">
      <alignment horizontal="center" vertical="top"/>
    </xf>
    <xf numFmtId="2" fontId="60" fillId="0" borderId="4" xfId="2" applyNumberFormat="1" applyFont="1" applyBorder="1" applyAlignment="1">
      <alignment horizontal="center" vertical="top"/>
    </xf>
    <xf numFmtId="0" fontId="0" fillId="0" borderId="10" xfId="0" applyBorder="1"/>
    <xf numFmtId="167" fontId="0" fillId="0" borderId="10" xfId="0" applyNumberFormat="1" applyBorder="1"/>
    <xf numFmtId="167" fontId="0" fillId="0" borderId="11" xfId="0" applyNumberFormat="1" applyBorder="1"/>
    <xf numFmtId="1" fontId="21" fillId="0" borderId="5" xfId="2" applyNumberFormat="1" applyFont="1" applyFill="1" applyBorder="1" applyAlignment="1">
      <alignment horizontal="center" vertical="top"/>
    </xf>
    <xf numFmtId="175" fontId="34" fillId="0" borderId="31" xfId="0" applyNumberFormat="1" applyFont="1" applyBorder="1"/>
    <xf numFmtId="0" fontId="21" fillId="0" borderId="31" xfId="0" applyFont="1" applyBorder="1"/>
    <xf numFmtId="167" fontId="21" fillId="0" borderId="31" xfId="0" applyNumberFormat="1" applyFont="1" applyBorder="1"/>
    <xf numFmtId="0" fontId="0" fillId="0" borderId="31" xfId="0" applyBorder="1"/>
    <xf numFmtId="0" fontId="21" fillId="0" borderId="32" xfId="0" applyFont="1" applyBorder="1"/>
    <xf numFmtId="0" fontId="0" fillId="0" borderId="32" xfId="0" applyBorder="1"/>
    <xf numFmtId="1" fontId="60" fillId="2" borderId="6" xfId="2" applyNumberFormat="1" applyFont="1" applyFill="1" applyBorder="1" applyAlignment="1">
      <alignment horizontal="center" vertical="top"/>
    </xf>
    <xf numFmtId="2" fontId="60" fillId="2" borderId="5" xfId="2" applyNumberFormat="1" applyFont="1" applyFill="1" applyBorder="1" applyAlignment="1">
      <alignment horizontal="center" vertical="top"/>
    </xf>
    <xf numFmtId="2" fontId="60" fillId="2" borderId="4" xfId="2" applyNumberFormat="1" applyFont="1" applyFill="1" applyBorder="1" applyAlignment="1">
      <alignment horizontal="center" vertical="top"/>
    </xf>
    <xf numFmtId="0" fontId="21" fillId="2" borderId="31" xfId="0" applyFont="1" applyFill="1" applyBorder="1"/>
    <xf numFmtId="0" fontId="0" fillId="2" borderId="31" xfId="0" applyFill="1" applyBorder="1"/>
    <xf numFmtId="0" fontId="21" fillId="2" borderId="11" xfId="0" applyFont="1" applyFill="1" applyBorder="1"/>
    <xf numFmtId="0" fontId="0" fillId="2" borderId="11" xfId="0" applyFill="1" applyBorder="1"/>
    <xf numFmtId="1" fontId="60" fillId="10" borderId="6" xfId="2" applyNumberFormat="1" applyFont="1" applyFill="1" applyBorder="1" applyAlignment="1">
      <alignment horizontal="center" vertical="top"/>
    </xf>
    <xf numFmtId="2" fontId="60" fillId="10" borderId="5" xfId="2" applyNumberFormat="1" applyFont="1" applyFill="1" applyBorder="1" applyAlignment="1">
      <alignment horizontal="center" vertical="top"/>
    </xf>
    <xf numFmtId="2" fontId="60" fillId="10" borderId="4" xfId="2" applyNumberFormat="1" applyFont="1" applyFill="1" applyBorder="1" applyAlignment="1">
      <alignment horizontal="center" vertical="top"/>
    </xf>
    <xf numFmtId="0" fontId="21" fillId="10" borderId="31" xfId="0" applyFont="1" applyFill="1" applyBorder="1"/>
    <xf numFmtId="0" fontId="0" fillId="10" borderId="31" xfId="0" applyFill="1" applyBorder="1"/>
    <xf numFmtId="1" fontId="60" fillId="16" borderId="6" xfId="2" applyNumberFormat="1" applyFont="1" applyFill="1" applyBorder="1" applyAlignment="1">
      <alignment horizontal="center" vertical="top"/>
    </xf>
    <xf numFmtId="2" fontId="60" fillId="16" borderId="5" xfId="2" applyNumberFormat="1" applyFont="1" applyFill="1" applyBorder="1" applyAlignment="1">
      <alignment horizontal="center" vertical="top"/>
    </xf>
    <xf numFmtId="2" fontId="60" fillId="16" borderId="4" xfId="2" applyNumberFormat="1" applyFont="1" applyFill="1" applyBorder="1" applyAlignment="1">
      <alignment horizontal="center" vertical="top"/>
    </xf>
    <xf numFmtId="0" fontId="21" fillId="16" borderId="31" xfId="0" applyFont="1" applyFill="1" applyBorder="1"/>
    <xf numFmtId="0" fontId="0" fillId="16" borderId="31" xfId="0" applyFill="1" applyBorder="1"/>
    <xf numFmtId="1" fontId="60" fillId="17" borderId="6" xfId="2" applyNumberFormat="1" applyFont="1" applyFill="1" applyBorder="1" applyAlignment="1">
      <alignment horizontal="center" vertical="top"/>
    </xf>
    <xf numFmtId="2" fontId="60" fillId="17" borderId="5" xfId="2" applyNumberFormat="1" applyFont="1" applyFill="1" applyBorder="1" applyAlignment="1">
      <alignment horizontal="center" vertical="top"/>
    </xf>
    <xf numFmtId="2" fontId="60" fillId="17" borderId="4" xfId="2" applyNumberFormat="1" applyFont="1" applyFill="1" applyBorder="1" applyAlignment="1">
      <alignment horizontal="center" vertical="top"/>
    </xf>
    <xf numFmtId="0" fontId="21" fillId="17" borderId="31" xfId="0" applyFont="1" applyFill="1" applyBorder="1"/>
    <xf numFmtId="0" fontId="0" fillId="17" borderId="31" xfId="0" applyFill="1" applyBorder="1"/>
    <xf numFmtId="1" fontId="60" fillId="18" borderId="6" xfId="2" applyNumberFormat="1" applyFont="1" applyFill="1" applyBorder="1" applyAlignment="1">
      <alignment horizontal="center" vertical="top"/>
    </xf>
    <xf numFmtId="2" fontId="60" fillId="18" borderId="5" xfId="2" applyNumberFormat="1" applyFont="1" applyFill="1" applyBorder="1" applyAlignment="1">
      <alignment horizontal="center" vertical="top"/>
    </xf>
    <xf numFmtId="2" fontId="60" fillId="18" borderId="4" xfId="2" applyNumberFormat="1" applyFont="1" applyFill="1" applyBorder="1" applyAlignment="1">
      <alignment horizontal="center" vertical="top"/>
    </xf>
    <xf numFmtId="0" fontId="21" fillId="18" borderId="31" xfId="0" applyFont="1" applyFill="1" applyBorder="1"/>
    <xf numFmtId="0" fontId="0" fillId="18" borderId="31" xfId="0" applyFill="1" applyBorder="1"/>
    <xf numFmtId="0" fontId="21" fillId="18" borderId="11" xfId="0" applyFont="1" applyFill="1" applyBorder="1"/>
    <xf numFmtId="0" fontId="0" fillId="18" borderId="11" xfId="0" applyFill="1" applyBorder="1"/>
    <xf numFmtId="1" fontId="60" fillId="19" borderId="6" xfId="2" applyNumberFormat="1" applyFont="1" applyFill="1" applyBorder="1" applyAlignment="1">
      <alignment horizontal="center" vertical="top"/>
    </xf>
    <xf numFmtId="2" fontId="60" fillId="19" borderId="5" xfId="2" applyNumberFormat="1" applyFont="1" applyFill="1" applyBorder="1" applyAlignment="1">
      <alignment horizontal="center" vertical="top"/>
    </xf>
    <xf numFmtId="2" fontId="60" fillId="19" borderId="4" xfId="2" applyNumberFormat="1" applyFont="1" applyFill="1" applyBorder="1" applyAlignment="1">
      <alignment horizontal="center" vertical="top"/>
    </xf>
    <xf numFmtId="0" fontId="21" fillId="19" borderId="31" xfId="0" applyFont="1" applyFill="1" applyBorder="1"/>
    <xf numFmtId="0" fontId="0" fillId="19" borderId="31" xfId="0" applyFill="1" applyBorder="1"/>
    <xf numFmtId="1" fontId="60" fillId="3" borderId="6" xfId="2" applyNumberFormat="1" applyFont="1" applyFill="1" applyBorder="1" applyAlignment="1">
      <alignment horizontal="center" vertical="top"/>
    </xf>
    <xf numFmtId="2" fontId="60" fillId="3" borderId="5" xfId="2" applyNumberFormat="1" applyFont="1" applyFill="1" applyBorder="1" applyAlignment="1">
      <alignment horizontal="center" vertical="top"/>
    </xf>
    <xf numFmtId="2" fontId="60" fillId="3" borderId="4" xfId="2" applyNumberFormat="1" applyFont="1" applyFill="1" applyBorder="1" applyAlignment="1">
      <alignment horizontal="center" vertical="top"/>
    </xf>
    <xf numFmtId="0" fontId="21" fillId="3" borderId="31" xfId="0" applyFont="1" applyFill="1" applyBorder="1"/>
    <xf numFmtId="0" fontId="0" fillId="3" borderId="31" xfId="0" applyFill="1" applyBorder="1"/>
    <xf numFmtId="1" fontId="60" fillId="20" borderId="6" xfId="2" applyNumberFormat="1" applyFont="1" applyFill="1" applyBorder="1" applyAlignment="1">
      <alignment horizontal="center" vertical="top"/>
    </xf>
    <xf numFmtId="2" fontId="60" fillId="20" borderId="5" xfId="2" applyNumberFormat="1" applyFont="1" applyFill="1" applyBorder="1" applyAlignment="1">
      <alignment horizontal="center" vertical="top"/>
    </xf>
    <xf numFmtId="2" fontId="60" fillId="20" borderId="4" xfId="2" applyNumberFormat="1" applyFont="1" applyFill="1" applyBorder="1" applyAlignment="1">
      <alignment horizontal="center" vertical="top"/>
    </xf>
    <xf numFmtId="0" fontId="21" fillId="20" borderId="31" xfId="0" applyFont="1" applyFill="1" applyBorder="1"/>
    <xf numFmtId="0" fontId="37" fillId="20" borderId="31" xfId="0" applyFont="1" applyFill="1" applyBorder="1"/>
    <xf numFmtId="0" fontId="0" fillId="20" borderId="31" xfId="0" applyFill="1" applyBorder="1"/>
    <xf numFmtId="0" fontId="21" fillId="20" borderId="32" xfId="0" applyFont="1" applyFill="1" applyBorder="1"/>
    <xf numFmtId="0" fontId="37" fillId="20" borderId="32" xfId="0" applyFont="1" applyFill="1" applyBorder="1"/>
    <xf numFmtId="0" fontId="0" fillId="20" borderId="32" xfId="0" applyFill="1" applyBorder="1"/>
    <xf numFmtId="0" fontId="37" fillId="20" borderId="33" xfId="0" applyFont="1" applyFill="1" applyBorder="1"/>
    <xf numFmtId="0" fontId="0" fillId="20" borderId="33" xfId="0" applyFill="1" applyBorder="1"/>
    <xf numFmtId="0" fontId="0" fillId="0" borderId="0" xfId="0" applyFill="1" applyBorder="1"/>
    <xf numFmtId="0" fontId="21" fillId="21" borderId="31" xfId="0" applyFont="1" applyFill="1" applyBorder="1"/>
    <xf numFmtId="0" fontId="0" fillId="21" borderId="31" xfId="0" applyFill="1" applyBorder="1"/>
    <xf numFmtId="2" fontId="13" fillId="21" borderId="0" xfId="0" applyNumberFormat="1" applyFont="1" applyFill="1"/>
    <xf numFmtId="2" fontId="13" fillId="16" borderId="0" xfId="0" applyNumberFormat="1" applyFont="1" applyFill="1"/>
    <xf numFmtId="2" fontId="13" fillId="17" borderId="0" xfId="0" applyNumberFormat="1" applyFont="1" applyFill="1"/>
    <xf numFmtId="2" fontId="13" fillId="18" borderId="0" xfId="0" applyNumberFormat="1" applyFont="1" applyFill="1"/>
    <xf numFmtId="0" fontId="13" fillId="22" borderId="0" xfId="0" applyFont="1" applyFill="1"/>
    <xf numFmtId="170" fontId="52" fillId="0" borderId="0" xfId="0" applyNumberFormat="1" applyFont="1"/>
    <xf numFmtId="0" fontId="14" fillId="0" borderId="0" xfId="0" applyFont="1"/>
    <xf numFmtId="170" fontId="10" fillId="0" borderId="0" xfId="0" applyNumberFormat="1" applyFont="1"/>
    <xf numFmtId="2" fontId="61" fillId="0" borderId="4" xfId="2" applyNumberFormat="1" applyFont="1" applyBorder="1" applyAlignment="1">
      <alignment horizontal="center" vertical="top"/>
    </xf>
    <xf numFmtId="2" fontId="0" fillId="0" borderId="0" xfId="0" applyNumberFormat="1" applyFill="1"/>
    <xf numFmtId="0" fontId="13" fillId="0" borderId="0" xfId="0" applyFont="1" applyAlignment="1">
      <alignment horizontal="center" wrapText="1"/>
    </xf>
    <xf numFmtId="0" fontId="13" fillId="0" borderId="11" xfId="0" applyFont="1" applyBorder="1" applyAlignment="1">
      <alignment horizontal="center" wrapText="1"/>
    </xf>
    <xf numFmtId="0" fontId="2" fillId="0" borderId="0" xfId="0" applyFont="1" applyAlignment="1">
      <alignment horizontal="center" wrapText="1"/>
    </xf>
    <xf numFmtId="0" fontId="2" fillId="0" borderId="11" xfId="0" applyFont="1" applyBorder="1" applyAlignment="1">
      <alignment horizontal="center" wrapText="1"/>
    </xf>
    <xf numFmtId="0" fontId="13" fillId="3" borderId="0" xfId="0" applyFont="1" applyFill="1" applyAlignment="1">
      <alignment horizontal="center" wrapText="1"/>
    </xf>
    <xf numFmtId="2" fontId="0" fillId="0" borderId="4" xfId="0" applyNumberFormat="1" applyBorder="1" applyAlignment="1">
      <alignment horizontal="center" vertical="top" wrapText="1"/>
    </xf>
    <xf numFmtId="2" fontId="0" fillId="0" borderId="0" xfId="0" applyNumberFormat="1" applyAlignment="1">
      <alignment horizontal="center" vertical="top" wrapText="1"/>
    </xf>
    <xf numFmtId="2" fontId="0" fillId="0" borderId="6" xfId="0" applyNumberFormat="1" applyBorder="1" applyAlignment="1">
      <alignment horizontal="center" vertical="top" wrapText="1"/>
    </xf>
    <xf numFmtId="0" fontId="10" fillId="0" borderId="0" xfId="0" applyFont="1" applyAlignment="1">
      <alignment horizontal="center" vertical="center" wrapText="1"/>
    </xf>
    <xf numFmtId="0" fontId="10" fillId="0" borderId="20" xfId="0" applyFont="1" applyBorder="1" applyAlignment="1">
      <alignment horizontal="center" vertical="center"/>
    </xf>
    <xf numFmtId="0" fontId="10" fillId="0" borderId="12" xfId="0" applyFont="1" applyBorder="1" applyAlignment="1">
      <alignment horizontal="center" vertical="center"/>
    </xf>
    <xf numFmtId="0" fontId="0" fillId="13" borderId="25" xfId="0" applyFill="1" applyBorder="1"/>
    <xf numFmtId="0" fontId="0" fillId="0" borderId="0" xfId="0"/>
    <xf numFmtId="0" fontId="0" fillId="13" borderId="26" xfId="0" applyFill="1" applyBorder="1"/>
    <xf numFmtId="0" fontId="0" fillId="13" borderId="27" xfId="0" applyFill="1" applyBorder="1"/>
    <xf numFmtId="0" fontId="0" fillId="13" borderId="28" xfId="0" applyFill="1" applyBorder="1"/>
    <xf numFmtId="0" fontId="0" fillId="13" borderId="29" xfId="0" applyFill="1" applyBorder="1"/>
    <xf numFmtId="0" fontId="0" fillId="0" borderId="0" xfId="0" applyAlignment="1">
      <alignment vertical="top" wrapText="1"/>
    </xf>
    <xf numFmtId="0" fontId="0" fillId="0" borderId="0" xfId="0" applyAlignment="1">
      <alignment wrapText="1"/>
    </xf>
    <xf numFmtId="0" fontId="0" fillId="0" borderId="0" xfId="0" applyAlignment="1">
      <alignment horizontal="center" vertical="center"/>
    </xf>
    <xf numFmtId="0" fontId="59" fillId="0" borderId="0" xfId="0" applyFont="1"/>
    <xf numFmtId="0" fontId="56" fillId="0" borderId="0" xfId="0" applyFont="1" applyAlignment="1">
      <alignment horizontal="center" vertical="center"/>
    </xf>
    <xf numFmtId="15" fontId="0" fillId="0" borderId="23" xfId="0" applyNumberFormat="1" applyBorder="1"/>
    <xf numFmtId="0" fontId="0" fillId="0" borderId="24" xfId="0" applyBorder="1"/>
    <xf numFmtId="0" fontId="0" fillId="0" borderId="22" xfId="0" applyBorder="1"/>
    <xf numFmtId="0" fontId="0" fillId="0" borderId="23" xfId="0" applyBorder="1"/>
    <xf numFmtId="15" fontId="0" fillId="0" borderId="0" xfId="0" applyNumberFormat="1"/>
    <xf numFmtId="0" fontId="0" fillId="0" borderId="26" xfId="0" applyBorder="1"/>
    <xf numFmtId="0" fontId="0" fillId="0" borderId="25" xfId="0" applyBorder="1"/>
    <xf numFmtId="15" fontId="0" fillId="0" borderId="28" xfId="0" applyNumberFormat="1" applyBorder="1"/>
    <xf numFmtId="0" fontId="0" fillId="0" borderId="29" xfId="0" applyBorder="1"/>
    <xf numFmtId="0" fontId="0" fillId="0" borderId="27" xfId="0" applyBorder="1"/>
    <xf numFmtId="0" fontId="0" fillId="0" borderId="28" xfId="0" applyBorder="1"/>
    <xf numFmtId="0" fontId="0" fillId="13" borderId="22" xfId="0" applyFill="1" applyBorder="1"/>
    <xf numFmtId="0" fontId="0" fillId="13" borderId="23" xfId="0" applyFill="1" applyBorder="1"/>
    <xf numFmtId="0" fontId="0" fillId="13" borderId="24" xfId="0" applyFill="1" applyBorder="1"/>
    <xf numFmtId="0" fontId="58" fillId="0" borderId="0" xfId="0" applyFont="1"/>
    <xf numFmtId="1" fontId="11" fillId="3" borderId="0" xfId="0" applyNumberFormat="1" applyFont="1" applyFill="1"/>
    <xf numFmtId="14" fontId="11" fillId="3" borderId="0" xfId="0" applyNumberFormat="1" applyFont="1" applyFill="1"/>
    <xf numFmtId="0" fontId="10" fillId="0" borderId="0" xfId="0" applyFont="1" applyAlignment="1">
      <alignment horizontal="left" vertical="center"/>
    </xf>
  </cellXfs>
  <cellStyles count="4">
    <cellStyle name="Hyperlink" xfId="3" builtinId="8"/>
    <cellStyle name="Normal" xfId="0" builtinId="0"/>
    <cellStyle name="Normal 2" xfId="2" xr:uid="{51C09B08-A9FB-4CF4-A381-CD837C62235C}"/>
    <cellStyle name="Percent"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SAZ23 %CaCO3</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00B050"/>
              </a:solidFill>
              <a:ln>
                <a:solidFill>
                  <a:srgbClr val="00B050"/>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'PIC data'!$AF$8:$AF$28</c:f>
              <c:numCache>
                <c:formatCode>General</c:formatCode>
                <c:ptCount val="21"/>
                <c:pt idx="0">
                  <c:v>56.120943126948475</c:v>
                </c:pt>
                <c:pt idx="1">
                  <c:v>66.974910466021313</c:v>
                </c:pt>
                <c:pt idx="2">
                  <c:v>64.987639329772378</c:v>
                </c:pt>
                <c:pt idx="3">
                  <c:v>68.784728071542688</c:v>
                </c:pt>
                <c:pt idx="4">
                  <c:v>69.320550402314936</c:v>
                </c:pt>
                <c:pt idx="5">
                  <c:v>65.517171440981187</c:v>
                </c:pt>
                <c:pt idx="6">
                  <c:v>65.66783502200586</c:v>
                </c:pt>
                <c:pt idx="7">
                  <c:v>63.806344296063763</c:v>
                </c:pt>
                <c:pt idx="8">
                  <c:v>65.736349840707874</c:v>
                </c:pt>
                <c:pt idx="9">
                  <c:v>64.732972644842263</c:v>
                </c:pt>
                <c:pt idx="10">
                  <c:v>70.426733387976356</c:v>
                </c:pt>
                <c:pt idx="11">
                  <c:v>70.183909385582183</c:v>
                </c:pt>
                <c:pt idx="12">
                  <c:v>70.841903670914732</c:v>
                </c:pt>
                <c:pt idx="13">
                  <c:v>67.377102513891231</c:v>
                </c:pt>
                <c:pt idx="14">
                  <c:v>56.313374554336235</c:v>
                </c:pt>
                <c:pt idx="15">
                  <c:v>37.557174270931618</c:v>
                </c:pt>
                <c:pt idx="16">
                  <c:v>42.62105690215796</c:v>
                </c:pt>
                <c:pt idx="17">
                  <c:v>47.74398125145629</c:v>
                </c:pt>
                <c:pt idx="18">
                  <c:v>56.061492699040805</c:v>
                </c:pt>
                <c:pt idx="19">
                  <c:v>59.674762426616525</c:v>
                </c:pt>
                <c:pt idx="20">
                  <c:v>56.73544332240391</c:v>
                </c:pt>
              </c:numCache>
            </c:numRef>
          </c:yVal>
          <c:smooth val="0"/>
          <c:extLst>
            <c:ext xmlns:c16="http://schemas.microsoft.com/office/drawing/2014/chart" uri="{C3380CC4-5D6E-409C-BE32-E72D297353CC}">
              <c16:uniqueId val="{00000000-5BBB-438E-94B2-9D40F7BFF323}"/>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'PIC data'!$AF$29:$AF$49</c:f>
              <c:numCache>
                <c:formatCode>General</c:formatCode>
                <c:ptCount val="21"/>
                <c:pt idx="0">
                  <c:v>65.628843420356105</c:v>
                </c:pt>
                <c:pt idx="1">
                  <c:v>70.075846869540342</c:v>
                </c:pt>
                <c:pt idx="2">
                  <c:v>70.073750509862307</c:v>
                </c:pt>
                <c:pt idx="3">
                  <c:v>69.941262409563237</c:v>
                </c:pt>
                <c:pt idx="4">
                  <c:v>70.257354756557206</c:v>
                </c:pt>
                <c:pt idx="5">
                  <c:v>71.906472970856171</c:v>
                </c:pt>
                <c:pt idx="6">
                  <c:v>68.411802083429365</c:v>
                </c:pt>
                <c:pt idx="7">
                  <c:v>71.026493505621474</c:v>
                </c:pt>
                <c:pt idx="8">
                  <c:v>70.264190434620446</c:v>
                </c:pt>
                <c:pt idx="9">
                  <c:v>65.585953679618768</c:v>
                </c:pt>
                <c:pt idx="10">
                  <c:v>71.95002637283919</c:v>
                </c:pt>
                <c:pt idx="11">
                  <c:v>71.920992794736691</c:v>
                </c:pt>
                <c:pt idx="12">
                  <c:v>73.245491660516976</c:v>
                </c:pt>
                <c:pt idx="13">
                  <c:v>71.321726370593183</c:v>
                </c:pt>
                <c:pt idx="14">
                  <c:v>62.153693182149141</c:v>
                </c:pt>
                <c:pt idx="15">
                  <c:v>45.86546712304547</c:v>
                </c:pt>
                <c:pt idx="16">
                  <c:v>47.520875354083962</c:v>
                </c:pt>
                <c:pt idx="17">
                  <c:v>51.782964065476811</c:v>
                </c:pt>
                <c:pt idx="18">
                  <c:v>59.882213227238921</c:v>
                </c:pt>
                <c:pt idx="19">
                  <c:v>63.657042000714448</c:v>
                </c:pt>
                <c:pt idx="20">
                  <c:v>63.059691919776405</c:v>
                </c:pt>
              </c:numCache>
            </c:numRef>
          </c:yVal>
          <c:smooth val="0"/>
          <c:extLst>
            <c:ext xmlns:c16="http://schemas.microsoft.com/office/drawing/2014/chart" uri="{C3380CC4-5D6E-409C-BE32-E72D297353CC}">
              <c16:uniqueId val="{00000001-5BBB-438E-94B2-9D40F7BFF323}"/>
            </c:ext>
          </c:extLst>
        </c:ser>
        <c:ser>
          <c:idx val="3"/>
          <c:order val="2"/>
          <c:tx>
            <c:v>47_3800</c:v>
          </c:tx>
          <c:spPr>
            <a:ln w="19050">
              <a:noFill/>
            </a:ln>
          </c:spPr>
          <c:marker>
            <c:symbol val="circle"/>
            <c:size val="5"/>
            <c:spPr>
              <a:solidFill>
                <a:srgbClr val="8064A2"/>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'PIC data'!$AF$50:$AF$70</c:f>
              <c:numCache>
                <c:formatCode>General</c:formatCode>
                <c:ptCount val="21"/>
                <c:pt idx="0">
                  <c:v>67.120804797484496</c:v>
                </c:pt>
                <c:pt idx="1">
                  <c:v>71.340135500677476</c:v>
                </c:pt>
                <c:pt idx="2">
                  <c:v>69.647737721463599</c:v>
                </c:pt>
                <c:pt idx="3">
                  <c:v>73.824145539924771</c:v>
                </c:pt>
                <c:pt idx="4">
                  <c:v>69.217122599232454</c:v>
                </c:pt>
                <c:pt idx="5">
                  <c:v>67.520281342064521</c:v>
                </c:pt>
                <c:pt idx="6">
                  <c:v>70.017770472842912</c:v>
                </c:pt>
                <c:pt idx="7">
                  <c:v>71.848509565839606</c:v>
                </c:pt>
                <c:pt idx="8">
                  <c:v>72.769164706681337</c:v>
                </c:pt>
                <c:pt idx="9">
                  <c:v>73.018737628937203</c:v>
                </c:pt>
                <c:pt idx="10">
                  <c:v>72.319518179165954</c:v>
                </c:pt>
                <c:pt idx="11">
                  <c:v>73.744515220353975</c:v>
                </c:pt>
                <c:pt idx="12">
                  <c:v>71.72150652687445</c:v>
                </c:pt>
                <c:pt idx="13">
                  <c:v>71.866061243464856</c:v>
                </c:pt>
                <c:pt idx="14">
                  <c:v>69.301719304295517</c:v>
                </c:pt>
                <c:pt idx="15">
                  <c:v>51.513612249116875</c:v>
                </c:pt>
                <c:pt idx="16">
                  <c:v>50.274385895742</c:v>
                </c:pt>
                <c:pt idx="17">
                  <c:v>55.710872875184357</c:v>
                </c:pt>
                <c:pt idx="18">
                  <c:v>64.347281548320183</c:v>
                </c:pt>
                <c:pt idx="19">
                  <c:v>65.307426314780514</c:v>
                </c:pt>
                <c:pt idx="20">
                  <c:v>70.845809336024359</c:v>
                </c:pt>
              </c:numCache>
            </c:numRef>
          </c:yVal>
          <c:smooth val="0"/>
          <c:extLst>
            <c:ext xmlns:c16="http://schemas.microsoft.com/office/drawing/2014/chart" uri="{C3380CC4-5D6E-409C-BE32-E72D297353CC}">
              <c16:uniqueId val="{00000002-5BBB-438E-94B2-9D40F7BFF323}"/>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min val="35"/>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SAZ23 %POC</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main!$AH$7:$AH$27</c:f>
              <c:numCache>
                <c:formatCode>General</c:formatCode>
                <c:ptCount val="21"/>
                <c:pt idx="0">
                  <c:v>13.834133872568071</c:v>
                </c:pt>
                <c:pt idx="1">
                  <c:v>6.8533718777288275</c:v>
                </c:pt>
                <c:pt idx="2">
                  <c:v>6.9073814748725599</c:v>
                </c:pt>
                <c:pt idx="3">
                  <c:v>6.413226727138488</c:v>
                </c:pt>
                <c:pt idx="4">
                  <c:v>5.9952249325852645</c:v>
                </c:pt>
                <c:pt idx="5">
                  <c:v>7.7037780306409864</c:v>
                </c:pt>
                <c:pt idx="6">
                  <c:v>7.9232268924883131</c:v>
                </c:pt>
                <c:pt idx="7">
                  <c:v>7.5171536970240727</c:v>
                </c:pt>
                <c:pt idx="8">
                  <c:v>6.8998620127626724</c:v>
                </c:pt>
                <c:pt idx="9">
                  <c:v>7.3469336322082697</c:v>
                </c:pt>
                <c:pt idx="10">
                  <c:v>6.2631968568800769</c:v>
                </c:pt>
                <c:pt idx="11">
                  <c:v>6.2703792086706986</c:v>
                </c:pt>
                <c:pt idx="12">
                  <c:v>5.3973476959941369</c:v>
                </c:pt>
                <c:pt idx="13">
                  <c:v>4.4915128727336366</c:v>
                </c:pt>
                <c:pt idx="14">
                  <c:v>5.4866200878692455</c:v>
                </c:pt>
                <c:pt idx="15">
                  <c:v>9.6530067620251927</c:v>
                </c:pt>
                <c:pt idx="16">
                  <c:v>9.8707733437733527</c:v>
                </c:pt>
                <c:pt idx="17">
                  <c:v>13.166462839373526</c:v>
                </c:pt>
                <c:pt idx="18">
                  <c:v>9.6933241729859816</c:v>
                </c:pt>
                <c:pt idx="19">
                  <c:v>9.1127154729864728</c:v>
                </c:pt>
                <c:pt idx="20">
                  <c:v>12.96612882247177</c:v>
                </c:pt>
              </c:numCache>
            </c:numRef>
          </c:yVal>
          <c:smooth val="0"/>
          <c:extLst>
            <c:ext xmlns:c16="http://schemas.microsoft.com/office/drawing/2014/chart" uri="{C3380CC4-5D6E-409C-BE32-E72D297353CC}">
              <c16:uniqueId val="{00000000-2F20-4886-BC47-506E554F99D5}"/>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main!$AH$31:$AH$51</c:f>
              <c:numCache>
                <c:formatCode>General</c:formatCode>
                <c:ptCount val="21"/>
                <c:pt idx="0">
                  <c:v>6.1581560765286669</c:v>
                </c:pt>
                <c:pt idx="1">
                  <c:v>5.5159998663486078</c:v>
                </c:pt>
                <c:pt idx="2">
                  <c:v>5.1823175902841125</c:v>
                </c:pt>
                <c:pt idx="3">
                  <c:v>5.0123006024771364</c:v>
                </c:pt>
                <c:pt idx="4">
                  <c:v>5.0473050232342782</c:v>
                </c:pt>
                <c:pt idx="5">
                  <c:v>4.6434661989422583</c:v>
                </c:pt>
                <c:pt idx="6">
                  <c:v>5.9903868726177514</c:v>
                </c:pt>
                <c:pt idx="7">
                  <c:v>4.7597506608153086</c:v>
                </c:pt>
                <c:pt idx="8">
                  <c:v>5.0489977029217208</c:v>
                </c:pt>
                <c:pt idx="9">
                  <c:v>6.8323452492887142</c:v>
                </c:pt>
                <c:pt idx="10">
                  <c:v>5.1403313847268883</c:v>
                </c:pt>
                <c:pt idx="11">
                  <c:v>5.1709692587544005</c:v>
                </c:pt>
                <c:pt idx="12">
                  <c:v>4.6077391374682684</c:v>
                </c:pt>
                <c:pt idx="13">
                  <c:v>3.9650103961442298</c:v>
                </c:pt>
                <c:pt idx="14">
                  <c:v>6.2749330328366062</c:v>
                </c:pt>
                <c:pt idx="15">
                  <c:v>7.2608426043231837</c:v>
                </c:pt>
                <c:pt idx="16">
                  <c:v>7.1259514394601133</c:v>
                </c:pt>
                <c:pt idx="17">
                  <c:v>8.4352868994804311</c:v>
                </c:pt>
                <c:pt idx="18">
                  <c:v>6.9393933470991547</c:v>
                </c:pt>
                <c:pt idx="19">
                  <c:v>6.078525411582671</c:v>
                </c:pt>
                <c:pt idx="20">
                  <c:v>8.0543310341540604</c:v>
                </c:pt>
              </c:numCache>
            </c:numRef>
          </c:yVal>
          <c:smooth val="0"/>
          <c:extLst>
            <c:ext xmlns:c16="http://schemas.microsoft.com/office/drawing/2014/chart" uri="{C3380CC4-5D6E-409C-BE32-E72D297353CC}">
              <c16:uniqueId val="{00000001-2F20-4886-BC47-506E554F99D5}"/>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main!$AH$55:$AH$75</c:f>
              <c:numCache>
                <c:formatCode>General</c:formatCode>
                <c:ptCount val="21"/>
                <c:pt idx="0">
                  <c:v>7.0275136651151939</c:v>
                </c:pt>
                <c:pt idx="1">
                  <c:v>4.9231838408046329</c:v>
                </c:pt>
                <c:pt idx="2">
                  <c:v>6.2316091094757731</c:v>
                </c:pt>
                <c:pt idx="3">
                  <c:v>4.2394149399456733</c:v>
                </c:pt>
                <c:pt idx="4">
                  <c:v>6.0919978566978106</c:v>
                </c:pt>
                <c:pt idx="5">
                  <c:v>6.8496143132238174</c:v>
                </c:pt>
                <c:pt idx="6">
                  <c:v>5.4227900670342439</c:v>
                </c:pt>
                <c:pt idx="7">
                  <c:v>4.4321436284628906</c:v>
                </c:pt>
                <c:pt idx="8">
                  <c:v>4.1422923463717964</c:v>
                </c:pt>
                <c:pt idx="9">
                  <c:v>3.884518544476526</c:v>
                </c:pt>
                <c:pt idx="10">
                  <c:v>4.8069638729462998</c:v>
                </c:pt>
                <c:pt idx="11">
                  <c:v>5.0211250458167473</c:v>
                </c:pt>
                <c:pt idx="12">
                  <c:v>4.9863372311655869</c:v>
                </c:pt>
                <c:pt idx="13">
                  <c:v>4.1319131888493263</c:v>
                </c:pt>
                <c:pt idx="14">
                  <c:v>3.8885177564278965</c:v>
                </c:pt>
                <c:pt idx="15">
                  <c:v>6.0842237378660995</c:v>
                </c:pt>
                <c:pt idx="16">
                  <c:v>6.1831490468797048</c:v>
                </c:pt>
                <c:pt idx="17">
                  <c:v>6.5218798634729653</c:v>
                </c:pt>
                <c:pt idx="18">
                  <c:v>5.0392024251474412</c:v>
                </c:pt>
                <c:pt idx="19">
                  <c:v>5.407122475063856</c:v>
                </c:pt>
                <c:pt idx="20">
                  <c:v>4.0736978805389636</c:v>
                </c:pt>
              </c:numCache>
            </c:numRef>
          </c:yVal>
          <c:smooth val="0"/>
          <c:extLst>
            <c:ext xmlns:c16="http://schemas.microsoft.com/office/drawing/2014/chart" uri="{C3380CC4-5D6E-409C-BE32-E72D297353CC}">
              <c16:uniqueId val="{00000002-2F20-4886-BC47-506E554F99D5}"/>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%POC</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POC/PN</a:t>
            </a:r>
          </a:p>
        </c:rich>
      </c:tx>
      <c:overlay val="0"/>
      <c:spPr>
        <a:noFill/>
        <a:ln w="25400">
          <a:noFill/>
        </a:ln>
      </c:spPr>
    </c:title>
    <c:autoTitleDeleted val="0"/>
    <c:plotArea>
      <c:layout>
        <c:manualLayout>
          <c:layoutTarget val="inner"/>
          <c:xMode val="edge"/>
          <c:yMode val="edge"/>
          <c:x val="7.4018634965669974E-2"/>
          <c:y val="0.11605302966842906"/>
          <c:w val="0.79654122477579714"/>
          <c:h val="0.74876024302390332"/>
        </c:manualLayout>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main!$AK$7:$AK$27</c:f>
              <c:numCache>
                <c:formatCode>0.00</c:formatCode>
                <c:ptCount val="21"/>
                <c:pt idx="0">
                  <c:v>7.4564110411490399</c:v>
                </c:pt>
                <c:pt idx="1">
                  <c:v>8.3461757888313812</c:v>
                </c:pt>
                <c:pt idx="2">
                  <c:v>7.7248639346837153</c:v>
                </c:pt>
                <c:pt idx="3">
                  <c:v>7.5526694133302001</c:v>
                </c:pt>
                <c:pt idx="4">
                  <c:v>7.2982086831896993</c:v>
                </c:pt>
                <c:pt idx="5">
                  <c:v>6.9190674330596851</c:v>
                </c:pt>
                <c:pt idx="6">
                  <c:v>7.5436444668186189</c:v>
                </c:pt>
                <c:pt idx="7">
                  <c:v>8.261600377040347</c:v>
                </c:pt>
                <c:pt idx="8">
                  <c:v>7.4507326411397337</c:v>
                </c:pt>
                <c:pt idx="9">
                  <c:v>7.2858787780640624</c:v>
                </c:pt>
                <c:pt idx="10">
                  <c:v>8.0690005997429264</c:v>
                </c:pt>
                <c:pt idx="11">
                  <c:v>7.9456928203741919</c:v>
                </c:pt>
                <c:pt idx="12">
                  <c:v>8.3540107542298472</c:v>
                </c:pt>
                <c:pt idx="13">
                  <c:v>8.2415678660990785</c:v>
                </c:pt>
                <c:pt idx="14">
                  <c:v>7.9865503819014094</c:v>
                </c:pt>
                <c:pt idx="15">
                  <c:v>8.1378471079550074</c:v>
                </c:pt>
                <c:pt idx="16">
                  <c:v>7.3893323255943937</c:v>
                </c:pt>
                <c:pt idx="17">
                  <c:v>8.0316717089942404</c:v>
                </c:pt>
                <c:pt idx="18">
                  <c:v>7.331203559823769</c:v>
                </c:pt>
                <c:pt idx="19">
                  <c:v>7.0269844424473744</c:v>
                </c:pt>
                <c:pt idx="20">
                  <c:v>6.6890611262318584</c:v>
                </c:pt>
              </c:numCache>
            </c:numRef>
          </c:yVal>
          <c:smooth val="0"/>
          <c:extLst>
            <c:ext xmlns:c16="http://schemas.microsoft.com/office/drawing/2014/chart" uri="{C3380CC4-5D6E-409C-BE32-E72D297353CC}">
              <c16:uniqueId val="{00000000-EFF7-40B3-9354-4102B6078563}"/>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main!$AK$31:$AK$51</c:f>
              <c:numCache>
                <c:formatCode>0.00</c:formatCode>
                <c:ptCount val="21"/>
                <c:pt idx="0">
                  <c:v>7.9081989301040476</c:v>
                </c:pt>
                <c:pt idx="1">
                  <c:v>7.2324874141534243</c:v>
                </c:pt>
                <c:pt idx="2">
                  <c:v>8.0619354521001281</c:v>
                </c:pt>
                <c:pt idx="3">
                  <c:v>7.9458536983807919</c:v>
                </c:pt>
                <c:pt idx="4">
                  <c:v>8.2329252187518982</c:v>
                </c:pt>
                <c:pt idx="5">
                  <c:v>8.453616573112809</c:v>
                </c:pt>
                <c:pt idx="6">
                  <c:v>7.2008984196638348</c:v>
                </c:pt>
                <c:pt idx="7">
                  <c:v>8.1539818725822748</c:v>
                </c:pt>
                <c:pt idx="8">
                  <c:v>7.8099813200262229</c:v>
                </c:pt>
                <c:pt idx="9">
                  <c:v>6.6170925833273984</c:v>
                </c:pt>
                <c:pt idx="10">
                  <c:v>8.0467646144510034</c:v>
                </c:pt>
                <c:pt idx="11">
                  <c:v>8.2642025404234829</c:v>
                </c:pt>
                <c:pt idx="12">
                  <c:v>8.2279762089008539</c:v>
                </c:pt>
                <c:pt idx="13">
                  <c:v>8.2136388693550604</c:v>
                </c:pt>
                <c:pt idx="14">
                  <c:v>6.5770964525331195</c:v>
                </c:pt>
                <c:pt idx="15">
                  <c:v>8.1025567154344618</c:v>
                </c:pt>
                <c:pt idx="16">
                  <c:v>7.9395824401943571</c:v>
                </c:pt>
                <c:pt idx="17">
                  <c:v>8.1444550985227124</c:v>
                </c:pt>
                <c:pt idx="18">
                  <c:v>7.5863426321684599</c:v>
                </c:pt>
                <c:pt idx="19">
                  <c:v>8.0133983889034877</c:v>
                </c:pt>
                <c:pt idx="20">
                  <c:v>7.3522324922194278</c:v>
                </c:pt>
              </c:numCache>
            </c:numRef>
          </c:yVal>
          <c:smooth val="0"/>
          <c:extLst>
            <c:ext xmlns:c16="http://schemas.microsoft.com/office/drawing/2014/chart" uri="{C3380CC4-5D6E-409C-BE32-E72D297353CC}">
              <c16:uniqueId val="{00000001-EFF7-40B3-9354-4102B6078563}"/>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main!$AK$55:$AK$75</c:f>
              <c:numCache>
                <c:formatCode>0.00</c:formatCode>
                <c:ptCount val="21"/>
                <c:pt idx="0">
                  <c:v>8.367220633687257</c:v>
                </c:pt>
                <c:pt idx="1">
                  <c:v>8.2789834599297567</c:v>
                </c:pt>
                <c:pt idx="2">
                  <c:v>7.7214574315234978</c:v>
                </c:pt>
                <c:pt idx="3">
                  <c:v>8.4000108524642947</c:v>
                </c:pt>
                <c:pt idx="4">
                  <c:v>7.4667177654265329</c:v>
                </c:pt>
                <c:pt idx="5">
                  <c:v>7.4368026425495062</c:v>
                </c:pt>
                <c:pt idx="6">
                  <c:v>7.4190010064238887</c:v>
                </c:pt>
                <c:pt idx="7">
                  <c:v>8.1834799173435968</c:v>
                </c:pt>
                <c:pt idx="8">
                  <c:v>8.3606527554128558</c:v>
                </c:pt>
                <c:pt idx="9">
                  <c:v>8.351021090903302</c:v>
                </c:pt>
                <c:pt idx="10">
                  <c:v>8.3335698934318199</c:v>
                </c:pt>
                <c:pt idx="11">
                  <c:v>8.4774862164482343</c:v>
                </c:pt>
                <c:pt idx="12">
                  <c:v>8.3215116942505762</c:v>
                </c:pt>
                <c:pt idx="13">
                  <c:v>8.3880476148238898</c:v>
                </c:pt>
                <c:pt idx="14">
                  <c:v>8.380390174093364</c:v>
                </c:pt>
                <c:pt idx="15">
                  <c:v>8.2650026343647234</c:v>
                </c:pt>
                <c:pt idx="16">
                  <c:v>8.3311786122588973</c:v>
                </c:pt>
                <c:pt idx="17">
                  <c:v>7.8619239391813585</c:v>
                </c:pt>
                <c:pt idx="18">
                  <c:v>7.7462374707542772</c:v>
                </c:pt>
                <c:pt idx="19">
                  <c:v>7.3423202364182938</c:v>
                </c:pt>
                <c:pt idx="20">
                  <c:v>8.1660453678224538</c:v>
                </c:pt>
              </c:numCache>
            </c:numRef>
          </c:yVal>
          <c:smooth val="0"/>
          <c:extLst>
            <c:ext xmlns:c16="http://schemas.microsoft.com/office/drawing/2014/chart" uri="{C3380CC4-5D6E-409C-BE32-E72D297353CC}">
              <c16:uniqueId val="{00000002-EFF7-40B3-9354-4102B6078563}"/>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layout>
            <c:manualLayout>
              <c:xMode val="edge"/>
              <c:yMode val="edge"/>
              <c:x val="0.41113245596405867"/>
              <c:y val="0.94616616488373595"/>
            </c:manualLayout>
          </c:layout>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min val="4"/>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POC/PN</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SAZ23 %BSi</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main!$AB$7:$AB$27</c:f>
              <c:numCache>
                <c:formatCode>General</c:formatCode>
                <c:ptCount val="21"/>
                <c:pt idx="0">
                  <c:v>3.0862671942872186</c:v>
                </c:pt>
                <c:pt idx="1">
                  <c:v>3.1883006804317224</c:v>
                </c:pt>
                <c:pt idx="2">
                  <c:v>3.9690303177468964</c:v>
                </c:pt>
                <c:pt idx="3">
                  <c:v>4.3893203616121266</c:v>
                </c:pt>
                <c:pt idx="4">
                  <c:v>4.168429664737987</c:v>
                </c:pt>
                <c:pt idx="5">
                  <c:v>3.7565045903808771</c:v>
                </c:pt>
                <c:pt idx="6">
                  <c:v>4.1312824461490774</c:v>
                </c:pt>
                <c:pt idx="7">
                  <c:v>4.6401353539620516</c:v>
                </c:pt>
                <c:pt idx="8">
                  <c:v>4.4787523500081745</c:v>
                </c:pt>
                <c:pt idx="9">
                  <c:v>4.4350123594416448</c:v>
                </c:pt>
                <c:pt idx="10">
                  <c:v>4.0382413123801513</c:v>
                </c:pt>
                <c:pt idx="11">
                  <c:v>4.1026918216284525</c:v>
                </c:pt>
                <c:pt idx="12">
                  <c:v>4.9123722366108593</c:v>
                </c:pt>
                <c:pt idx="13">
                  <c:v>7.8465837775509435</c:v>
                </c:pt>
                <c:pt idx="14">
                  <c:v>11.229417824822235</c:v>
                </c:pt>
                <c:pt idx="15">
                  <c:v>14.925933185228955</c:v>
                </c:pt>
                <c:pt idx="16">
                  <c:v>11.083044806517311</c:v>
                </c:pt>
                <c:pt idx="17">
                  <c:v>7.4116710596261184</c:v>
                </c:pt>
                <c:pt idx="18">
                  <c:v>7.067502912904164</c:v>
                </c:pt>
                <c:pt idx="19">
                  <c:v>6.2376017764618794</c:v>
                </c:pt>
                <c:pt idx="20">
                  <c:v>4.5762021298382143</c:v>
                </c:pt>
              </c:numCache>
            </c:numRef>
          </c:yVal>
          <c:smooth val="0"/>
          <c:extLst>
            <c:ext xmlns:c16="http://schemas.microsoft.com/office/drawing/2014/chart" uri="{C3380CC4-5D6E-409C-BE32-E72D297353CC}">
              <c16:uniqueId val="{00000000-A1AC-4EA1-B819-D1710F8EEC48}"/>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main!$AB$31:$AB$51</c:f>
              <c:numCache>
                <c:formatCode>General</c:formatCode>
                <c:ptCount val="21"/>
                <c:pt idx="0">
                  <c:v>4.3784849403405213</c:v>
                </c:pt>
                <c:pt idx="1">
                  <c:v>3.254385205747877</c:v>
                </c:pt>
                <c:pt idx="2">
                  <c:v>3.6357994371282927</c:v>
                </c:pt>
                <c:pt idx="3">
                  <c:v>4.2568723887375111</c:v>
                </c:pt>
                <c:pt idx="4">
                  <c:v>4.1586083339159616</c:v>
                </c:pt>
                <c:pt idx="5">
                  <c:v>4.2152985273716785</c:v>
                </c:pt>
                <c:pt idx="6">
                  <c:v>4.1973491264039939</c:v>
                </c:pt>
                <c:pt idx="7">
                  <c:v>4.5769935207154582</c:v>
                </c:pt>
                <c:pt idx="8">
                  <c:v>4.5492179527780694</c:v>
                </c:pt>
                <c:pt idx="9">
                  <c:v>4.4339842469495538</c:v>
                </c:pt>
                <c:pt idx="10">
                  <c:v>4.0042009706992632</c:v>
                </c:pt>
                <c:pt idx="11">
                  <c:v>4.0059288674033144</c:v>
                </c:pt>
                <c:pt idx="12">
                  <c:v>4.2977634931665509</c:v>
                </c:pt>
                <c:pt idx="13">
                  <c:v>6.0145513583606149</c:v>
                </c:pt>
                <c:pt idx="14">
                  <c:v>7.4566302159198017</c:v>
                </c:pt>
                <c:pt idx="15">
                  <c:v>13.6199138165038</c:v>
                </c:pt>
                <c:pt idx="16">
                  <c:v>12.655903717881202</c:v>
                </c:pt>
                <c:pt idx="17">
                  <c:v>8.8911986531280149</c:v>
                </c:pt>
                <c:pt idx="18">
                  <c:v>7.9501352592895067</c:v>
                </c:pt>
                <c:pt idx="19">
                  <c:v>7.3187015320597695</c:v>
                </c:pt>
                <c:pt idx="20">
                  <c:v>5.8014736003641341</c:v>
                </c:pt>
              </c:numCache>
            </c:numRef>
          </c:yVal>
          <c:smooth val="0"/>
          <c:extLst>
            <c:ext xmlns:c16="http://schemas.microsoft.com/office/drawing/2014/chart" uri="{C3380CC4-5D6E-409C-BE32-E72D297353CC}">
              <c16:uniqueId val="{00000001-A1AC-4EA1-B819-D1710F8EEC48}"/>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main!$AB$55:$AB$75</c:f>
              <c:numCache>
                <c:formatCode>General</c:formatCode>
                <c:ptCount val="21"/>
                <c:pt idx="0">
                  <c:v>3.3978077252050856</c:v>
                </c:pt>
                <c:pt idx="1">
                  <c:v>3.2661448229375596</c:v>
                </c:pt>
                <c:pt idx="2">
                  <c:v>3.0392570177253599</c:v>
                </c:pt>
                <c:pt idx="3">
                  <c:v>3.2336309523809526</c:v>
                </c:pt>
                <c:pt idx="4">
                  <c:v>3.177578767992459</c:v>
                </c:pt>
                <c:pt idx="5">
                  <c:v>3.2224790756914126</c:v>
                </c:pt>
                <c:pt idx="6">
                  <c:v>3.5328432052526941</c:v>
                </c:pt>
                <c:pt idx="7">
                  <c:v>3.752734967394602</c:v>
                </c:pt>
                <c:pt idx="8">
                  <c:v>3.8853255275347403</c:v>
                </c:pt>
                <c:pt idx="9">
                  <c:v>4.0700171928449258</c:v>
                </c:pt>
                <c:pt idx="10">
                  <c:v>3.9204810202317377</c:v>
                </c:pt>
                <c:pt idx="11">
                  <c:v>3.6519043817454229</c:v>
                </c:pt>
                <c:pt idx="12">
                  <c:v>4.1673051467288884</c:v>
                </c:pt>
                <c:pt idx="13">
                  <c:v>5.1718812625250496</c:v>
                </c:pt>
                <c:pt idx="14">
                  <c:v>6.6282997173113172</c:v>
                </c:pt>
                <c:pt idx="15">
                  <c:v>12.103515193227285</c:v>
                </c:pt>
                <c:pt idx="16">
                  <c:v>12.183173386141295</c:v>
                </c:pt>
                <c:pt idx="17">
                  <c:v>9.8220868190892645</c:v>
                </c:pt>
                <c:pt idx="18">
                  <c:v>7.5368776085141906</c:v>
                </c:pt>
                <c:pt idx="19">
                  <c:v>6.4887899999999998</c:v>
                </c:pt>
                <c:pt idx="20">
                  <c:v>5.7058408597039261</c:v>
                </c:pt>
              </c:numCache>
            </c:numRef>
          </c:yVal>
          <c:smooth val="0"/>
          <c:extLst>
            <c:ext xmlns:c16="http://schemas.microsoft.com/office/drawing/2014/chart" uri="{C3380CC4-5D6E-409C-BE32-E72D297353CC}">
              <c16:uniqueId val="{00000002-A1AC-4EA1-B819-D1710F8EEC48}"/>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PIC mg m-2 d-1 </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netcdf_format!$AF$14:$AF$34</c:f>
              <c:numCache>
                <c:formatCode>0.0</c:formatCode>
                <c:ptCount val="21"/>
                <c:pt idx="0">
                  <c:v>4.0783663863806385</c:v>
                </c:pt>
                <c:pt idx="1">
                  <c:v>4.6061788347126731</c:v>
                </c:pt>
                <c:pt idx="2">
                  <c:v>5.005814004386747</c:v>
                </c:pt>
                <c:pt idx="3">
                  <c:v>5.2025758227121806</c:v>
                </c:pt>
                <c:pt idx="4">
                  <c:v>3.7986773907484044</c:v>
                </c:pt>
                <c:pt idx="5">
                  <c:v>2.4963465067535031</c:v>
                </c:pt>
                <c:pt idx="6">
                  <c:v>1.9649323318440017</c:v>
                </c:pt>
                <c:pt idx="7">
                  <c:v>3.078937805343414</c:v>
                </c:pt>
                <c:pt idx="8">
                  <c:v>5.0640153480569037</c:v>
                </c:pt>
                <c:pt idx="9">
                  <c:v>4.0418045332627193</c:v>
                </c:pt>
                <c:pt idx="10">
                  <c:v>7.0571463571600059</c:v>
                </c:pt>
                <c:pt idx="11">
                  <c:v>8.4829152891571677</c:v>
                </c:pt>
                <c:pt idx="12">
                  <c:v>9.5305276753246542</c:v>
                </c:pt>
                <c:pt idx="13">
                  <c:v>7.607339823663791</c:v>
                </c:pt>
                <c:pt idx="14">
                  <c:v>8.1139475729817629</c:v>
                </c:pt>
                <c:pt idx="15">
                  <c:v>9.8941386176699346</c:v>
                </c:pt>
                <c:pt idx="16">
                  <c:v>3.745075510090393</c:v>
                </c:pt>
                <c:pt idx="17">
                  <c:v>3.1378954455123962</c:v>
                </c:pt>
                <c:pt idx="18">
                  <c:v>1.4971559628483837</c:v>
                </c:pt>
                <c:pt idx="19">
                  <c:v>0.8121094727045638</c:v>
                </c:pt>
                <c:pt idx="20">
                  <c:v>1.6437626893865449</c:v>
                </c:pt>
              </c:numCache>
            </c:numRef>
          </c:yVal>
          <c:smooth val="0"/>
          <c:extLst>
            <c:ext xmlns:c16="http://schemas.microsoft.com/office/drawing/2014/chart" uri="{C3380CC4-5D6E-409C-BE32-E72D297353CC}">
              <c16:uniqueId val="{00000000-5763-42D1-B2C3-312C60FBA980}"/>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netcdf_format!$AF$35:$AF$55</c:f>
              <c:numCache>
                <c:formatCode>0.0</c:formatCode>
                <c:ptCount val="21"/>
                <c:pt idx="0">
                  <c:v>5.3021803924167692</c:v>
                </c:pt>
                <c:pt idx="1">
                  <c:v>4.1949322450839093</c:v>
                </c:pt>
                <c:pt idx="2">
                  <c:v>5.7867785213796905</c:v>
                </c:pt>
                <c:pt idx="3">
                  <c:v>5.3251732113325234</c:v>
                </c:pt>
                <c:pt idx="4">
                  <c:v>4.1963045440952289</c:v>
                </c:pt>
                <c:pt idx="5">
                  <c:v>2.8121558986163078</c:v>
                </c:pt>
                <c:pt idx="6">
                  <c:v>2.772476315733194</c:v>
                </c:pt>
                <c:pt idx="7">
                  <c:v>2.8722806613446878</c:v>
                </c:pt>
                <c:pt idx="8">
                  <c:v>4.5846990367108349</c:v>
                </c:pt>
                <c:pt idx="9">
                  <c:v>4.7552200255690504</c:v>
                </c:pt>
                <c:pt idx="10">
                  <c:v>5.6161100855490611</c:v>
                </c:pt>
                <c:pt idx="11">
                  <c:v>7.9933164706795825</c:v>
                </c:pt>
                <c:pt idx="12">
                  <c:v>7.9575005581296283</c:v>
                </c:pt>
                <c:pt idx="13">
                  <c:v>8.7326326302193902</c:v>
                </c:pt>
                <c:pt idx="14">
                  <c:v>7.1824128526829725</c:v>
                </c:pt>
                <c:pt idx="15">
                  <c:v>11.091955956764425</c:v>
                </c:pt>
                <c:pt idx="16">
                  <c:v>7.7388381974981026</c:v>
                </c:pt>
                <c:pt idx="17">
                  <c:v>5.2679934532219477</c:v>
                </c:pt>
                <c:pt idx="18">
                  <c:v>3.8080107427402536</c:v>
                </c:pt>
                <c:pt idx="19">
                  <c:v>2.7794134731168647</c:v>
                </c:pt>
                <c:pt idx="20">
                  <c:v>1.8294077498543617</c:v>
                </c:pt>
              </c:numCache>
            </c:numRef>
          </c:yVal>
          <c:smooth val="0"/>
          <c:extLst>
            <c:ext xmlns:c16="http://schemas.microsoft.com/office/drawing/2014/chart" uri="{C3380CC4-5D6E-409C-BE32-E72D297353CC}">
              <c16:uniqueId val="{00000001-5763-42D1-B2C3-312C60FBA980}"/>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netcdf_format!$AF$56:$AF$76</c:f>
              <c:numCache>
                <c:formatCode>0.0</c:formatCode>
                <c:ptCount val="21"/>
                <c:pt idx="0">
                  <c:v>3.862636461419835</c:v>
                </c:pt>
                <c:pt idx="1">
                  <c:v>3.4593097653465614</c:v>
                </c:pt>
                <c:pt idx="2">
                  <c:v>4.0581997913333989</c:v>
                </c:pt>
                <c:pt idx="3">
                  <c:v>5.513611071504612</c:v>
                </c:pt>
                <c:pt idx="4">
                  <c:v>3.580549767460556</c:v>
                </c:pt>
                <c:pt idx="5">
                  <c:v>2.9930276916455267</c:v>
                </c:pt>
                <c:pt idx="6">
                  <c:v>3.5287698771678833</c:v>
                </c:pt>
                <c:pt idx="7">
                  <c:v>2.6729591088020355</c:v>
                </c:pt>
                <c:pt idx="8">
                  <c:v>3.3775918864235543</c:v>
                </c:pt>
                <c:pt idx="9">
                  <c:v>4.6779904097765872</c:v>
                </c:pt>
                <c:pt idx="10">
                  <c:v>5.6665367245890934</c:v>
                </c:pt>
                <c:pt idx="11">
                  <c:v>7.5823515415434217</c:v>
                </c:pt>
                <c:pt idx="12">
                  <c:v>7.0387750527360913</c:v>
                </c:pt>
                <c:pt idx="13">
                  <c:v>6.7680199078852219</c:v>
                </c:pt>
                <c:pt idx="14">
                  <c:v>5.789131202764918</c:v>
                </c:pt>
                <c:pt idx="15">
                  <c:v>9.2122795394103463</c:v>
                </c:pt>
                <c:pt idx="16">
                  <c:v>8.8311796416509551</c:v>
                </c:pt>
                <c:pt idx="17">
                  <c:v>6.4994576040722816</c:v>
                </c:pt>
                <c:pt idx="18">
                  <c:v>4.8569543881783277</c:v>
                </c:pt>
                <c:pt idx="19">
                  <c:v>2.8373803333042735</c:v>
                </c:pt>
                <c:pt idx="20">
                  <c:v>3.8848314169132392</c:v>
                </c:pt>
              </c:numCache>
            </c:numRef>
          </c:yVal>
          <c:smooth val="0"/>
          <c:extLst>
            <c:ext xmlns:c16="http://schemas.microsoft.com/office/drawing/2014/chart" uri="{C3380CC4-5D6E-409C-BE32-E72D297353CC}">
              <c16:uniqueId val="{00000002-5763-42D1-B2C3-312C60FBA980}"/>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PIC mg m-2 d-1</a:t>
                </a:r>
              </a:p>
            </c:rich>
          </c:tx>
          <c:overlay val="0"/>
          <c:spPr>
            <a:noFill/>
            <a:ln w="25400">
              <a:noFill/>
            </a:ln>
          </c:spPr>
        </c:title>
        <c:numFmt formatCode="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BSi mg m-2</a:t>
            </a:r>
            <a:r>
              <a:rPr lang="en-AU" baseline="0"/>
              <a:t> d-1</a:t>
            </a:r>
            <a:endParaRPr lang="en-AU"/>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netcdf_format!$AI$14:$AI$34</c:f>
              <c:numCache>
                <c:formatCode>0.0</c:formatCode>
                <c:ptCount val="21"/>
                <c:pt idx="0">
                  <c:v>1.8690849088898429</c:v>
                </c:pt>
                <c:pt idx="1">
                  <c:v>1.8273517614131527</c:v>
                </c:pt>
                <c:pt idx="2">
                  <c:v>2.547783932034033</c:v>
                </c:pt>
                <c:pt idx="3">
                  <c:v>2.7666734595277513</c:v>
                </c:pt>
                <c:pt idx="4">
                  <c:v>1.903606232777489</c:v>
                </c:pt>
                <c:pt idx="5">
                  <c:v>1.1928006928750574</c:v>
                </c:pt>
                <c:pt idx="6">
                  <c:v>1.0301821454372078</c:v>
                </c:pt>
                <c:pt idx="7">
                  <c:v>1.8659582960378149</c:v>
                </c:pt>
                <c:pt idx="8">
                  <c:v>2.8752837355565086</c:v>
                </c:pt>
                <c:pt idx="9">
                  <c:v>2.3076971873666108</c:v>
                </c:pt>
                <c:pt idx="10">
                  <c:v>3.3722369090459252</c:v>
                </c:pt>
                <c:pt idx="11">
                  <c:v>4.1324794328375871</c:v>
                </c:pt>
                <c:pt idx="12">
                  <c:v>5.5074710447031467</c:v>
                </c:pt>
                <c:pt idx="13">
                  <c:v>7.38304189556621</c:v>
                </c:pt>
                <c:pt idx="14">
                  <c:v>13.483794226797052</c:v>
                </c:pt>
                <c:pt idx="15">
                  <c:v>32.768820170085512</c:v>
                </c:pt>
                <c:pt idx="16">
                  <c:v>8.1157691129404927</c:v>
                </c:pt>
                <c:pt idx="17">
                  <c:v>4.0594781203723631</c:v>
                </c:pt>
                <c:pt idx="18">
                  <c:v>1.5729054381962513</c:v>
                </c:pt>
                <c:pt idx="19">
                  <c:v>0.70741742500108828</c:v>
                </c:pt>
                <c:pt idx="20">
                  <c:v>1.1049028537353913</c:v>
                </c:pt>
              </c:numCache>
            </c:numRef>
          </c:yVal>
          <c:smooth val="0"/>
          <c:extLst>
            <c:ext xmlns:c16="http://schemas.microsoft.com/office/drawing/2014/chart" uri="{C3380CC4-5D6E-409C-BE32-E72D297353CC}">
              <c16:uniqueId val="{00000000-60CA-4E5A-89C0-CEA04D770F00}"/>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netcdf_format!$AI$35:$AI$55</c:f>
              <c:numCache>
                <c:formatCode>0.0</c:formatCode>
                <c:ptCount val="21"/>
                <c:pt idx="0">
                  <c:v>2.9479345665553156</c:v>
                </c:pt>
                <c:pt idx="1">
                  <c:v>1.6235280010456175</c:v>
                </c:pt>
                <c:pt idx="2">
                  <c:v>2.5021632832189802</c:v>
                </c:pt>
                <c:pt idx="3">
                  <c:v>2.7010034166723909</c:v>
                </c:pt>
                <c:pt idx="4">
                  <c:v>2.0699385616345398</c:v>
                </c:pt>
                <c:pt idx="5">
                  <c:v>1.3738330931561611</c:v>
                </c:pt>
                <c:pt idx="6">
                  <c:v>1.4175753057998024</c:v>
                </c:pt>
                <c:pt idx="7">
                  <c:v>1.5424852786115357</c:v>
                </c:pt>
                <c:pt idx="8">
                  <c:v>2.473704162087087</c:v>
                </c:pt>
                <c:pt idx="9">
                  <c:v>2.679095254824932</c:v>
                </c:pt>
                <c:pt idx="10">
                  <c:v>2.6046822583183915</c:v>
                </c:pt>
                <c:pt idx="11">
                  <c:v>3.7102980496425095</c:v>
                </c:pt>
                <c:pt idx="12">
                  <c:v>3.8911011659980188</c:v>
                </c:pt>
                <c:pt idx="13">
                  <c:v>6.1370662532569682</c:v>
                </c:pt>
                <c:pt idx="14">
                  <c:v>7.180922880205121</c:v>
                </c:pt>
                <c:pt idx="15">
                  <c:v>27.449276727832832</c:v>
                </c:pt>
                <c:pt idx="16">
                  <c:v>17.175869331410201</c:v>
                </c:pt>
                <c:pt idx="17">
                  <c:v>7.5379432749309192</c:v>
                </c:pt>
                <c:pt idx="18">
                  <c:v>4.2131708402675079</c:v>
                </c:pt>
                <c:pt idx="19">
                  <c:v>2.6630233305730089</c:v>
                </c:pt>
                <c:pt idx="20">
                  <c:v>1.4025915586762701</c:v>
                </c:pt>
              </c:numCache>
            </c:numRef>
          </c:yVal>
          <c:smooth val="0"/>
          <c:extLst>
            <c:ext xmlns:c16="http://schemas.microsoft.com/office/drawing/2014/chart" uri="{C3380CC4-5D6E-409C-BE32-E72D297353CC}">
              <c16:uniqueId val="{00000001-60CA-4E5A-89C0-CEA04D770F00}"/>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netcdf_format!$AI$56:$AI$76</c:f>
              <c:numCache>
                <c:formatCode>0.0</c:formatCode>
                <c:ptCount val="21"/>
                <c:pt idx="0">
                  <c:v>1.6295200577937334</c:v>
                </c:pt>
                <c:pt idx="1">
                  <c:v>1.3198518676085829</c:v>
                </c:pt>
                <c:pt idx="2">
                  <c:v>1.4758019118675816</c:v>
                </c:pt>
                <c:pt idx="3">
                  <c:v>2.0126227741096439</c:v>
                </c:pt>
                <c:pt idx="4">
                  <c:v>1.3698301747732198</c:v>
                </c:pt>
                <c:pt idx="5">
                  <c:v>1.1904216820789453</c:v>
                </c:pt>
                <c:pt idx="6">
                  <c:v>1.4837941462061315</c:v>
                </c:pt>
                <c:pt idx="7">
                  <c:v>1.1634739822441715</c:v>
                </c:pt>
                <c:pt idx="8">
                  <c:v>1.5028700338859167</c:v>
                </c:pt>
                <c:pt idx="9">
                  <c:v>2.1729787590773908</c:v>
                </c:pt>
                <c:pt idx="10">
                  <c:v>2.5599752705553525</c:v>
                </c:pt>
                <c:pt idx="11">
                  <c:v>3.1291603545298643</c:v>
                </c:pt>
                <c:pt idx="12">
                  <c:v>3.4082953000885361</c:v>
                </c:pt>
                <c:pt idx="13">
                  <c:v>4.0590141061534819</c:v>
                </c:pt>
                <c:pt idx="14">
                  <c:v>4.6142992032059169</c:v>
                </c:pt>
                <c:pt idx="15">
                  <c:v>18.038102625953552</c:v>
                </c:pt>
                <c:pt idx="16">
                  <c:v>17.834732522794837</c:v>
                </c:pt>
                <c:pt idx="17">
                  <c:v>9.5493794674063164</c:v>
                </c:pt>
                <c:pt idx="18">
                  <c:v>4.7408860210732877</c:v>
                </c:pt>
                <c:pt idx="19">
                  <c:v>2.3493782011764708</c:v>
                </c:pt>
                <c:pt idx="20">
                  <c:v>2.6074254281571387</c:v>
                </c:pt>
              </c:numCache>
            </c:numRef>
          </c:yVal>
          <c:smooth val="0"/>
          <c:extLst>
            <c:ext xmlns:c16="http://schemas.microsoft.com/office/drawing/2014/chart" uri="{C3380CC4-5D6E-409C-BE32-E72D297353CC}">
              <c16:uniqueId val="{00000002-60CA-4E5A-89C0-CEA04D770F00}"/>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 mg m-2 d-1</a:t>
                </a:r>
              </a:p>
            </c:rich>
          </c:tx>
          <c:overlay val="0"/>
          <c:spPr>
            <a:noFill/>
            <a:ln w="25400">
              <a:noFill/>
            </a:ln>
          </c:spPr>
        </c:title>
        <c:numFmt formatCode="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2474435815767635"/>
                  <c:y val="2.28646893548714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raw data'!$F$5:$F$15,'CHN raw data'!$F$17:$F$22,'CHN raw data'!$F$24:$F$28,'CHN raw data'!$F$30)</c:f>
              <c:numCache>
                <c:formatCode>0.00</c:formatCode>
                <c:ptCount val="23"/>
                <c:pt idx="0">
                  <c:v>2.1642990112304688</c:v>
                </c:pt>
                <c:pt idx="1">
                  <c:v>0.95788174867630005</c:v>
                </c:pt>
                <c:pt idx="2">
                  <c:v>1.0527235269546509</c:v>
                </c:pt>
                <c:pt idx="3">
                  <c:v>0.99053823947906494</c:v>
                </c:pt>
                <c:pt idx="4">
                  <c:v>0.95826214551925659</c:v>
                </c:pt>
                <c:pt idx="5">
                  <c:v>1.298827052116394</c:v>
                </c:pt>
                <c:pt idx="6">
                  <c:v>1.2252254486083984</c:v>
                </c:pt>
                <c:pt idx="7">
                  <c:v>1.0614129304885864</c:v>
                </c:pt>
                <c:pt idx="8">
                  <c:v>1.0802805423736572</c:v>
                </c:pt>
                <c:pt idx="9">
                  <c:v>1.1763032674789429</c:v>
                </c:pt>
                <c:pt idx="10">
                  <c:v>0.9054645299911499</c:v>
                </c:pt>
                <c:pt idx="11">
                  <c:v>1.0334370136260986</c:v>
                </c:pt>
                <c:pt idx="12">
                  <c:v>0.9205707311630249</c:v>
                </c:pt>
                <c:pt idx="13">
                  <c:v>0.75366872549057007</c:v>
                </c:pt>
                <c:pt idx="14">
                  <c:v>0.63573765754699707</c:v>
                </c:pt>
                <c:pt idx="15">
                  <c:v>0.80138421058654785</c:v>
                </c:pt>
                <c:pt idx="16">
                  <c:v>1.371864914894104</c:v>
                </c:pt>
                <c:pt idx="17">
                  <c:v>1.3955750465393066</c:v>
                </c:pt>
                <c:pt idx="18">
                  <c:v>1.5582642555236816</c:v>
                </c:pt>
                <c:pt idx="19">
                  <c:v>1.912310004234314</c:v>
                </c:pt>
                <c:pt idx="20">
                  <c:v>1.5423842668533325</c:v>
                </c:pt>
                <c:pt idx="21">
                  <c:v>1.5127736330032349</c:v>
                </c:pt>
                <c:pt idx="22">
                  <c:v>2.2612068653106689</c:v>
                </c:pt>
              </c:numCache>
            </c:numRef>
          </c:xVal>
          <c:yVal>
            <c:numRef>
              <c:f>('CHN raw data'!$D$5:$D$15,'CHN raw data'!$D$17:$D$22,'CHN raw data'!$D$24:$D$28,'CHN raw data'!$D$30)</c:f>
              <c:numCache>
                <c:formatCode>0.00</c:formatCode>
                <c:ptCount val="23"/>
                <c:pt idx="0">
                  <c:v>20.56840705871582</c:v>
                </c:pt>
                <c:pt idx="1">
                  <c:v>14.890074729919434</c:v>
                </c:pt>
                <c:pt idx="2">
                  <c:v>14.78520393371582</c:v>
                </c:pt>
                <c:pt idx="3">
                  <c:v>14.667099952697754</c:v>
                </c:pt>
                <c:pt idx="4">
                  <c:v>14.313394546508789</c:v>
                </c:pt>
                <c:pt idx="5">
                  <c:v>15.565558433532715</c:v>
                </c:pt>
                <c:pt idx="6">
                  <c:v>15.803086280822754</c:v>
                </c:pt>
                <c:pt idx="7">
                  <c:v>15.173642158508301</c:v>
                </c:pt>
                <c:pt idx="8">
                  <c:v>14.787942886352539</c:v>
                </c:pt>
                <c:pt idx="9">
                  <c:v>15.11461353302002</c:v>
                </c:pt>
                <c:pt idx="10">
                  <c:v>14.714103698730469</c:v>
                </c:pt>
                <c:pt idx="11">
                  <c:v>14.626036643981934</c:v>
                </c:pt>
                <c:pt idx="12">
                  <c:v>14.692148208618164</c:v>
                </c:pt>
                <c:pt idx="13">
                  <c:v>13.898073196411133</c:v>
                </c:pt>
                <c:pt idx="14">
                  <c:v>12.57647705078125</c:v>
                </c:pt>
                <c:pt idx="15">
                  <c:v>12.243984222412109</c:v>
                </c:pt>
                <c:pt idx="16">
                  <c:v>14.126595497131348</c:v>
                </c:pt>
                <c:pt idx="17">
                  <c:v>14.192818641662598</c:v>
                </c:pt>
                <c:pt idx="18">
                  <c:v>14.98511791229248</c:v>
                </c:pt>
                <c:pt idx="19">
                  <c:v>18.895536422729492</c:v>
                </c:pt>
                <c:pt idx="20">
                  <c:v>16.420463562011719</c:v>
                </c:pt>
                <c:pt idx="21">
                  <c:v>16.273431777954102</c:v>
                </c:pt>
                <c:pt idx="22">
                  <c:v>19.774139404296875</c:v>
                </c:pt>
              </c:numCache>
            </c:numRef>
          </c:yVal>
          <c:smooth val="0"/>
          <c:extLst>
            <c:ext xmlns:c16="http://schemas.microsoft.com/office/drawing/2014/chart" uri="{C3380CC4-5D6E-409C-BE32-E72D297353CC}">
              <c16:uniqueId val="{00000001-EC9A-4134-99E7-52B98D19F5EA}"/>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40656558764379797"/>
                  <c:y val="-1.104089151424301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raw data'!$F$31:$F$33,'CHN raw data'!$F$35:$F$41,'CHN raw data'!$F$43:$F$47,'CHN raw data'!$F$50:$F$54,'CHN raw data'!$F$56:$F$57)</c:f>
              <c:numCache>
                <c:formatCode>0.00</c:formatCode>
                <c:ptCount val="22"/>
                <c:pt idx="0">
                  <c:v>0.9149206280708313</c:v>
                </c:pt>
                <c:pt idx="1">
                  <c:v>0.88967561721801758</c:v>
                </c:pt>
                <c:pt idx="2">
                  <c:v>0.74985939264297485</c:v>
                </c:pt>
                <c:pt idx="3">
                  <c:v>0.73585402965545654</c:v>
                </c:pt>
                <c:pt idx="4">
                  <c:v>0.71515554189682007</c:v>
                </c:pt>
                <c:pt idx="5">
                  <c:v>0.64075922966003418</c:v>
                </c:pt>
                <c:pt idx="6">
                  <c:v>0.9704279899597168</c:v>
                </c:pt>
                <c:pt idx="7">
                  <c:v>0.68094116449356079</c:v>
                </c:pt>
                <c:pt idx="8">
                  <c:v>0.75413709878921509</c:v>
                </c:pt>
                <c:pt idx="9">
                  <c:v>1.2044748067855835</c:v>
                </c:pt>
                <c:pt idx="10">
                  <c:v>0.745186448097229</c:v>
                </c:pt>
                <c:pt idx="11">
                  <c:v>0.7299046516418457</c:v>
                </c:pt>
                <c:pt idx="12">
                  <c:v>0.65326589345932007</c:v>
                </c:pt>
                <c:pt idx="13">
                  <c:v>0.90184217691421509</c:v>
                </c:pt>
                <c:pt idx="14">
                  <c:v>0.56312376260757446</c:v>
                </c:pt>
                <c:pt idx="15">
                  <c:v>1.0453460216522217</c:v>
                </c:pt>
                <c:pt idx="16">
                  <c:v>1.0476332902908325</c:v>
                </c:pt>
                <c:pt idx="17">
                  <c:v>1.0463360548019409</c:v>
                </c:pt>
                <c:pt idx="18">
                  <c:v>1.2081836462020874</c:v>
                </c:pt>
                <c:pt idx="19">
                  <c:v>1.0670485496520996</c:v>
                </c:pt>
                <c:pt idx="20">
                  <c:v>0.8848642110824585</c:v>
                </c:pt>
                <c:pt idx="21">
                  <c:v>1.2779250144958496</c:v>
                </c:pt>
              </c:numCache>
            </c:numRef>
          </c:xVal>
          <c:yVal>
            <c:numRef>
              <c:f>('CHN raw data'!$D$31:$D$33,'CHN raw data'!$D$35:$D$41,'CHN raw data'!$D$43:$D$48,'CHN raw data'!$D$50:$D$54,'CHN raw data'!$D$56:$D$57)</c:f>
              <c:numCache>
                <c:formatCode>0.00</c:formatCode>
                <c:ptCount val="23"/>
                <c:pt idx="0">
                  <c:v>14.107197761535645</c:v>
                </c:pt>
                <c:pt idx="1">
                  <c:v>13.924801826477051</c:v>
                </c:pt>
                <c:pt idx="2">
                  <c:v>13.59086799621582</c:v>
                </c:pt>
                <c:pt idx="3">
                  <c:v>13.404953002929688</c:v>
                </c:pt>
                <c:pt idx="4">
                  <c:v>13.477887153625488</c:v>
                </c:pt>
                <c:pt idx="5">
                  <c:v>13.27193546295166</c:v>
                </c:pt>
                <c:pt idx="6">
                  <c:v>14.19951057434082</c:v>
                </c:pt>
                <c:pt idx="7">
                  <c:v>13.282626152038574</c:v>
                </c:pt>
                <c:pt idx="8">
                  <c:v>13.480400085449219</c:v>
                </c:pt>
                <c:pt idx="9">
                  <c:v>14.70237922668457</c:v>
                </c:pt>
                <c:pt idx="10">
                  <c:v>13.774026870727539</c:v>
                </c:pt>
                <c:pt idx="11">
                  <c:v>13.801180839538574</c:v>
                </c:pt>
                <c:pt idx="12">
                  <c:v>13.396884918212891</c:v>
                </c:pt>
                <c:pt idx="13">
                  <c:v>13.959475517272949</c:v>
                </c:pt>
                <c:pt idx="14">
                  <c:v>12.523312568664551</c:v>
                </c:pt>
                <c:pt idx="15">
                  <c:v>13.733110427856445</c:v>
                </c:pt>
                <c:pt idx="16">
                  <c:v>12.76450252532959</c:v>
                </c:pt>
                <c:pt idx="17">
                  <c:v>12.81428337097168</c:v>
                </c:pt>
                <c:pt idx="18">
                  <c:v>12.842223167419434</c:v>
                </c:pt>
                <c:pt idx="19">
                  <c:v>14.649021148681641</c:v>
                </c:pt>
                <c:pt idx="20">
                  <c:v>14.125002861022949</c:v>
                </c:pt>
                <c:pt idx="21">
                  <c:v>13.717098236083984</c:v>
                </c:pt>
                <c:pt idx="22">
                  <c:v>15.621224403381348</c:v>
                </c:pt>
              </c:numCache>
            </c:numRef>
          </c:yVal>
          <c:smooth val="0"/>
          <c:extLst>
            <c:ext xmlns:c16="http://schemas.microsoft.com/office/drawing/2014/chart" uri="{C3380CC4-5D6E-409C-BE32-E72D297353CC}">
              <c16:uniqueId val="{00000003-EC9A-4134-99E7-52B98D19F5EA}"/>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6559899905539337"/>
                  <c:y val="5.5432526461489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raw data'!$F$58:$F$66,'CHN raw data'!$F$69:$F$74,'CHN raw data'!$F$77:$F$80,'CHN raw data'!$F$82:$F$85)</c:f>
              <c:numCache>
                <c:formatCode>0.00</c:formatCode>
                <c:ptCount val="23"/>
                <c:pt idx="0">
                  <c:v>0.97975075244903564</c:v>
                </c:pt>
                <c:pt idx="1">
                  <c:v>0.69368797540664673</c:v>
                </c:pt>
                <c:pt idx="2">
                  <c:v>0.94144737720489502</c:v>
                </c:pt>
                <c:pt idx="3">
                  <c:v>0.58873683214187622</c:v>
                </c:pt>
                <c:pt idx="4">
                  <c:v>0.95175492763519287</c:v>
                </c:pt>
                <c:pt idx="5">
                  <c:v>1.0744222402572632</c:v>
                </c:pt>
                <c:pt idx="6">
                  <c:v>0.85265332460403442</c:v>
                </c:pt>
                <c:pt idx="7">
                  <c:v>0.63178735971450806</c:v>
                </c:pt>
                <c:pt idx="8">
                  <c:v>0.57795721292495728</c:v>
                </c:pt>
                <c:pt idx="9">
                  <c:v>0.54261618852615356</c:v>
                </c:pt>
                <c:pt idx="10">
                  <c:v>0.67911934852600098</c:v>
                </c:pt>
                <c:pt idx="11">
                  <c:v>0.6909220814704895</c:v>
                </c:pt>
                <c:pt idx="12">
                  <c:v>0.69899576902389526</c:v>
                </c:pt>
                <c:pt idx="13">
                  <c:v>0.57462620735168457</c:v>
                </c:pt>
                <c:pt idx="14">
                  <c:v>0.54127126932144165</c:v>
                </c:pt>
                <c:pt idx="15">
                  <c:v>0.85000878572463989</c:v>
                </c:pt>
                <c:pt idx="16">
                  <c:v>0.86745387315750122</c:v>
                </c:pt>
                <c:pt idx="17">
                  <c:v>0.86576175689697266</c:v>
                </c:pt>
                <c:pt idx="18">
                  <c:v>0.96769630908966064</c:v>
                </c:pt>
                <c:pt idx="19">
                  <c:v>0.66663223505020142</c:v>
                </c:pt>
                <c:pt idx="20">
                  <c:v>0.75886780023574829</c:v>
                </c:pt>
                <c:pt idx="21">
                  <c:v>0.85906893014907837</c:v>
                </c:pt>
                <c:pt idx="22">
                  <c:v>0.58193188905715942</c:v>
                </c:pt>
              </c:numCache>
            </c:numRef>
          </c:xVal>
          <c:yVal>
            <c:numRef>
              <c:f>('CHN raw data'!$D$58:$D$66,'CHN raw data'!$D$69:$D$74,'CHN raw data'!$D$77:$D$80,'CHN raw data'!$D$82:$D$85)</c:f>
              <c:numCache>
                <c:formatCode>0.00</c:formatCode>
                <c:ptCount val="23"/>
                <c:pt idx="0">
                  <c:v>15.081723213195801</c:v>
                </c:pt>
                <c:pt idx="1">
                  <c:v>13.483695030212402</c:v>
                </c:pt>
                <c:pt idx="2">
                  <c:v>14.58903980255127</c:v>
                </c:pt>
                <c:pt idx="3">
                  <c:v>13.097996711730957</c:v>
                </c:pt>
                <c:pt idx="4">
                  <c:v>14.397756576538086</c:v>
                </c:pt>
                <c:pt idx="5">
                  <c:v>14.951759338378906</c:v>
                </c:pt>
                <c:pt idx="6">
                  <c:v>13.824623107910156</c:v>
                </c:pt>
                <c:pt idx="7">
                  <c:v>13.053657531738281</c:v>
                </c:pt>
                <c:pt idx="8">
                  <c:v>12.87428092956543</c:v>
                </c:pt>
                <c:pt idx="9">
                  <c:v>12.646454811096191</c:v>
                </c:pt>
                <c:pt idx="10">
                  <c:v>13.496709823608398</c:v>
                </c:pt>
                <c:pt idx="11">
                  <c:v>13.870151519775391</c:v>
                </c:pt>
                <c:pt idx="12">
                  <c:v>13.592611312866211</c:v>
                </c:pt>
                <c:pt idx="13">
                  <c:v>12.755533218383789</c:v>
                </c:pt>
                <c:pt idx="14">
                  <c:v>12.204427719116211</c:v>
                </c:pt>
                <c:pt idx="15">
                  <c:v>12.252190589904785</c:v>
                </c:pt>
                <c:pt idx="16">
                  <c:v>12.279083251953125</c:v>
                </c:pt>
                <c:pt idx="17">
                  <c:v>12.215860366821289</c:v>
                </c:pt>
                <c:pt idx="18">
                  <c:v>13.20694637298584</c:v>
                </c:pt>
                <c:pt idx="19">
                  <c:v>13.473283767700195</c:v>
                </c:pt>
                <c:pt idx="20">
                  <c:v>12.760601043701172</c:v>
                </c:pt>
                <c:pt idx="21">
                  <c:v>13.243734359741211</c:v>
                </c:pt>
                <c:pt idx="22">
                  <c:v>12.574892044067383</c:v>
                </c:pt>
              </c:numCache>
            </c:numRef>
          </c:yVal>
          <c:smooth val="0"/>
          <c:extLst>
            <c:ext xmlns:c16="http://schemas.microsoft.com/office/drawing/2014/chart" uri="{C3380CC4-5D6E-409C-BE32-E72D297353CC}">
              <c16:uniqueId val="{00000005-EC9A-4134-99E7-52B98D19F5EA}"/>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raw data'!$F$23,'CHN raw data'!$F$34,'CHN raw data'!$F$75:$F$76)</c:f>
              <c:numCache>
                <c:formatCode>0.00</c:formatCode>
                <c:ptCount val="4"/>
                <c:pt idx="0">
                  <c:v>0.27342760562896729</c:v>
                </c:pt>
                <c:pt idx="1">
                  <c:v>0.26600682735443115</c:v>
                </c:pt>
                <c:pt idx="2">
                  <c:v>0.2622734010219574</c:v>
                </c:pt>
                <c:pt idx="3">
                  <c:v>0.25674417614936829</c:v>
                </c:pt>
              </c:numCache>
            </c:numRef>
          </c:xVal>
          <c:yVal>
            <c:numRef>
              <c:f>('CHN raw data'!$D$23,'CHN raw data'!$D$34,'CHN raw data'!$D$75:$D$76)</c:f>
              <c:numCache>
                <c:formatCode>0.00</c:formatCode>
                <c:ptCount val="4"/>
                <c:pt idx="0">
                  <c:v>3.2328593730926514</c:v>
                </c:pt>
                <c:pt idx="1">
                  <c:v>3.1700296401977539</c:v>
                </c:pt>
                <c:pt idx="2">
                  <c:v>3.2272531986236572</c:v>
                </c:pt>
                <c:pt idx="3">
                  <c:v>3.16215834617614</c:v>
                </c:pt>
              </c:numCache>
            </c:numRef>
          </c:yVal>
          <c:smooth val="0"/>
          <c:extLst>
            <c:ext xmlns:c16="http://schemas.microsoft.com/office/drawing/2014/chart" uri="{C3380CC4-5D6E-409C-BE32-E72D297353CC}">
              <c16:uniqueId val="{00000006-EC9A-4134-99E7-52B98D19F5EA}"/>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raw data'!$F$49,'CHN raw data'!$F$67,'CHN raw data'!$F$86:$F$87)</c:f>
              <c:numCache>
                <c:formatCode>0.00</c:formatCode>
                <c:ptCount val="4"/>
                <c:pt idx="0">
                  <c:v>10.314472198486328</c:v>
                </c:pt>
                <c:pt idx="1">
                  <c:v>10.381709098815918</c:v>
                </c:pt>
                <c:pt idx="2">
                  <c:v>10.278037071228027</c:v>
                </c:pt>
                <c:pt idx="3">
                  <c:v>10.279146194458008</c:v>
                </c:pt>
              </c:numCache>
            </c:numRef>
          </c:xVal>
          <c:yVal>
            <c:numRef>
              <c:f>('CHN raw data'!$D$49,'CHN raw data'!$D$67,'CHN raw data'!$D$86:$D$87)</c:f>
              <c:numCache>
                <c:formatCode>0.00</c:formatCode>
                <c:ptCount val="4"/>
                <c:pt idx="0">
                  <c:v>71.053375244140625</c:v>
                </c:pt>
                <c:pt idx="1">
                  <c:v>71.185661315917969</c:v>
                </c:pt>
                <c:pt idx="2">
                  <c:v>71.175245666503898</c:v>
                </c:pt>
                <c:pt idx="3">
                  <c:v>70.992805480957031</c:v>
                </c:pt>
              </c:numCache>
            </c:numRef>
          </c:yVal>
          <c:smooth val="0"/>
          <c:extLst>
            <c:ext xmlns:c16="http://schemas.microsoft.com/office/drawing/2014/chart" uri="{C3380CC4-5D6E-409C-BE32-E72D297353CC}">
              <c16:uniqueId val="{00000000-F119-469E-BC9C-A4E2A9806D03}"/>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main!$AB$7:$AB$27</c:f>
              <c:numCache>
                <c:formatCode>General</c:formatCode>
                <c:ptCount val="21"/>
                <c:pt idx="0">
                  <c:v>3.0862671942872186</c:v>
                </c:pt>
                <c:pt idx="1">
                  <c:v>3.1883006804317224</c:v>
                </c:pt>
                <c:pt idx="2">
                  <c:v>3.9690303177468964</c:v>
                </c:pt>
                <c:pt idx="3">
                  <c:v>4.3893203616121266</c:v>
                </c:pt>
                <c:pt idx="4">
                  <c:v>4.168429664737987</c:v>
                </c:pt>
                <c:pt idx="5">
                  <c:v>3.7565045903808771</c:v>
                </c:pt>
                <c:pt idx="6">
                  <c:v>4.1312824461490774</c:v>
                </c:pt>
                <c:pt idx="7">
                  <c:v>4.6401353539620516</c:v>
                </c:pt>
                <c:pt idx="8">
                  <c:v>4.4787523500081745</c:v>
                </c:pt>
                <c:pt idx="9">
                  <c:v>4.4350123594416448</c:v>
                </c:pt>
                <c:pt idx="10">
                  <c:v>4.0382413123801513</c:v>
                </c:pt>
                <c:pt idx="11">
                  <c:v>4.1026918216284525</c:v>
                </c:pt>
                <c:pt idx="12">
                  <c:v>4.9123722366108593</c:v>
                </c:pt>
                <c:pt idx="13">
                  <c:v>7.8465837775509435</c:v>
                </c:pt>
                <c:pt idx="14">
                  <c:v>11.229417824822235</c:v>
                </c:pt>
                <c:pt idx="15">
                  <c:v>14.925933185228955</c:v>
                </c:pt>
                <c:pt idx="16">
                  <c:v>11.083044806517311</c:v>
                </c:pt>
                <c:pt idx="17">
                  <c:v>7.4116710596261184</c:v>
                </c:pt>
                <c:pt idx="18">
                  <c:v>7.067502912904164</c:v>
                </c:pt>
                <c:pt idx="19">
                  <c:v>6.2376017764618794</c:v>
                </c:pt>
                <c:pt idx="20">
                  <c:v>4.5762021298382143</c:v>
                </c:pt>
              </c:numCache>
            </c:numRef>
          </c:yVal>
          <c:smooth val="0"/>
          <c:extLst>
            <c:ext xmlns:c16="http://schemas.microsoft.com/office/drawing/2014/chart" uri="{C3380CC4-5D6E-409C-BE32-E72D297353CC}">
              <c16:uniqueId val="{00000000-FF7F-4877-B26D-20A911F16C38}"/>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main!$AB$31:$AB$51</c:f>
              <c:numCache>
                <c:formatCode>General</c:formatCode>
                <c:ptCount val="21"/>
                <c:pt idx="0">
                  <c:v>4.3784849403405213</c:v>
                </c:pt>
                <c:pt idx="1">
                  <c:v>3.254385205747877</c:v>
                </c:pt>
                <c:pt idx="2">
                  <c:v>3.6357994371282927</c:v>
                </c:pt>
                <c:pt idx="3">
                  <c:v>4.2568723887375111</c:v>
                </c:pt>
                <c:pt idx="4">
                  <c:v>4.1586083339159616</c:v>
                </c:pt>
                <c:pt idx="5">
                  <c:v>4.2152985273716785</c:v>
                </c:pt>
                <c:pt idx="6">
                  <c:v>4.1973491264039939</c:v>
                </c:pt>
                <c:pt idx="7">
                  <c:v>4.5769935207154582</c:v>
                </c:pt>
                <c:pt idx="8">
                  <c:v>4.5492179527780694</c:v>
                </c:pt>
                <c:pt idx="9">
                  <c:v>4.4339842469495538</c:v>
                </c:pt>
                <c:pt idx="10">
                  <c:v>4.0042009706992632</c:v>
                </c:pt>
                <c:pt idx="11">
                  <c:v>4.0059288674033144</c:v>
                </c:pt>
                <c:pt idx="12">
                  <c:v>4.2977634931665509</c:v>
                </c:pt>
                <c:pt idx="13">
                  <c:v>6.0145513583606149</c:v>
                </c:pt>
                <c:pt idx="14">
                  <c:v>7.4566302159198017</c:v>
                </c:pt>
                <c:pt idx="15">
                  <c:v>13.6199138165038</c:v>
                </c:pt>
                <c:pt idx="16">
                  <c:v>12.655903717881202</c:v>
                </c:pt>
                <c:pt idx="17">
                  <c:v>8.8911986531280149</c:v>
                </c:pt>
                <c:pt idx="18">
                  <c:v>7.9501352592895067</c:v>
                </c:pt>
                <c:pt idx="19">
                  <c:v>7.3187015320597695</c:v>
                </c:pt>
                <c:pt idx="20">
                  <c:v>5.8014736003641341</c:v>
                </c:pt>
              </c:numCache>
            </c:numRef>
          </c:yVal>
          <c:smooth val="0"/>
          <c:extLst>
            <c:ext xmlns:c16="http://schemas.microsoft.com/office/drawing/2014/chart" uri="{C3380CC4-5D6E-409C-BE32-E72D297353CC}">
              <c16:uniqueId val="{00000001-FF7F-4877-B26D-20A911F16C38}"/>
            </c:ext>
          </c:extLst>
        </c:ser>
        <c:ser>
          <c:idx val="3"/>
          <c:order val="2"/>
          <c:tx>
            <c:v>47_3800</c:v>
          </c:tx>
          <c:spPr>
            <a:ln w="28575">
              <a:noFill/>
            </a:ln>
          </c:spPr>
          <c:marker>
            <c:symbol val="circle"/>
            <c:size val="5"/>
            <c:spPr>
              <a:solidFill>
                <a:srgbClr val="92D050"/>
              </a:solidFill>
              <a:ln>
                <a:noFill/>
                <a:prstDash val="solid"/>
              </a:ln>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main!$AB$55:$AB$75</c:f>
              <c:numCache>
                <c:formatCode>General</c:formatCode>
                <c:ptCount val="21"/>
                <c:pt idx="0">
                  <c:v>3.3978077252050856</c:v>
                </c:pt>
                <c:pt idx="1">
                  <c:v>3.2661448229375596</c:v>
                </c:pt>
                <c:pt idx="2">
                  <c:v>3.0392570177253599</c:v>
                </c:pt>
                <c:pt idx="3">
                  <c:v>3.2336309523809526</c:v>
                </c:pt>
                <c:pt idx="4">
                  <c:v>3.177578767992459</c:v>
                </c:pt>
                <c:pt idx="5">
                  <c:v>3.2224790756914126</c:v>
                </c:pt>
                <c:pt idx="6">
                  <c:v>3.5328432052526941</c:v>
                </c:pt>
                <c:pt idx="7">
                  <c:v>3.752734967394602</c:v>
                </c:pt>
                <c:pt idx="8">
                  <c:v>3.8853255275347403</c:v>
                </c:pt>
                <c:pt idx="9">
                  <c:v>4.0700171928449258</c:v>
                </c:pt>
                <c:pt idx="10">
                  <c:v>3.9204810202317377</c:v>
                </c:pt>
                <c:pt idx="11">
                  <c:v>3.6519043817454229</c:v>
                </c:pt>
                <c:pt idx="12">
                  <c:v>4.1673051467288884</c:v>
                </c:pt>
                <c:pt idx="13">
                  <c:v>5.1718812625250496</c:v>
                </c:pt>
                <c:pt idx="14">
                  <c:v>6.6282997173113172</c:v>
                </c:pt>
                <c:pt idx="15">
                  <c:v>12.103515193227285</c:v>
                </c:pt>
                <c:pt idx="16">
                  <c:v>12.183173386141295</c:v>
                </c:pt>
                <c:pt idx="17">
                  <c:v>9.8220868190892645</c:v>
                </c:pt>
                <c:pt idx="18">
                  <c:v>7.5368776085141906</c:v>
                </c:pt>
                <c:pt idx="19">
                  <c:v>6.4887899999999998</c:v>
                </c:pt>
                <c:pt idx="20">
                  <c:v>5.7058408597039261</c:v>
                </c:pt>
              </c:numCache>
            </c:numRef>
          </c:yVal>
          <c:smooth val="0"/>
          <c:extLst>
            <c:ext xmlns:c16="http://schemas.microsoft.com/office/drawing/2014/chart" uri="{C3380CC4-5D6E-409C-BE32-E72D297353CC}">
              <c16:uniqueId val="{00000002-FF7F-4877-B26D-20A911F16C38}"/>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Height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main!$D$7:$D$27</c:f>
              <c:numCache>
                <c:formatCode>General</c:formatCode>
                <c:ptCount val="21"/>
                <c:pt idx="0">
                  <c:v>5</c:v>
                </c:pt>
                <c:pt idx="1">
                  <c:v>4</c:v>
                </c:pt>
                <c:pt idx="2">
                  <c:v>5</c:v>
                </c:pt>
                <c:pt idx="3">
                  <c:v>4</c:v>
                </c:pt>
                <c:pt idx="4">
                  <c:v>3</c:v>
                </c:pt>
                <c:pt idx="5">
                  <c:v>3</c:v>
                </c:pt>
                <c:pt idx="6">
                  <c:v>3</c:v>
                </c:pt>
                <c:pt idx="7">
                  <c:v>4</c:v>
                </c:pt>
                <c:pt idx="8">
                  <c:v>4</c:v>
                </c:pt>
                <c:pt idx="9">
                  <c:v>3</c:v>
                </c:pt>
                <c:pt idx="10">
                  <c:v>4</c:v>
                </c:pt>
                <c:pt idx="11">
                  <c:v>6</c:v>
                </c:pt>
                <c:pt idx="12">
                  <c:v>6</c:v>
                </c:pt>
                <c:pt idx="13">
                  <c:v>6</c:v>
                </c:pt>
                <c:pt idx="14">
                  <c:v>20</c:v>
                </c:pt>
                <c:pt idx="15">
                  <c:v>50</c:v>
                </c:pt>
                <c:pt idx="16">
                  <c:v>15</c:v>
                </c:pt>
                <c:pt idx="17">
                  <c:v>10</c:v>
                </c:pt>
                <c:pt idx="18">
                  <c:v>5</c:v>
                </c:pt>
                <c:pt idx="19">
                  <c:v>3</c:v>
                </c:pt>
                <c:pt idx="20">
                  <c:v>3</c:v>
                </c:pt>
              </c:numCache>
            </c:numRef>
          </c:yVal>
          <c:smooth val="0"/>
          <c:extLst>
            <c:ext xmlns:c16="http://schemas.microsoft.com/office/drawing/2014/chart" uri="{C3380CC4-5D6E-409C-BE32-E72D297353CC}">
              <c16:uniqueId val="{00000000-15AC-45AF-BCA3-862D34CC2E2D}"/>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main!$D$31:$D$51</c:f>
              <c:numCache>
                <c:formatCode>General</c:formatCode>
                <c:ptCount val="21"/>
                <c:pt idx="0">
                  <c:v>3</c:v>
                </c:pt>
                <c:pt idx="1">
                  <c:v>3</c:v>
                </c:pt>
                <c:pt idx="2">
                  <c:v>3</c:v>
                </c:pt>
                <c:pt idx="3">
                  <c:v>3</c:v>
                </c:pt>
                <c:pt idx="4">
                  <c:v>3</c:v>
                </c:pt>
                <c:pt idx="5">
                  <c:v>2</c:v>
                </c:pt>
                <c:pt idx="6">
                  <c:v>2</c:v>
                </c:pt>
                <c:pt idx="7">
                  <c:v>2</c:v>
                </c:pt>
                <c:pt idx="8">
                  <c:v>2</c:v>
                </c:pt>
                <c:pt idx="9">
                  <c:v>3</c:v>
                </c:pt>
                <c:pt idx="10">
                  <c:v>3</c:v>
                </c:pt>
                <c:pt idx="11">
                  <c:v>4</c:v>
                </c:pt>
                <c:pt idx="12">
                  <c:v>4</c:v>
                </c:pt>
                <c:pt idx="13">
                  <c:v>6</c:v>
                </c:pt>
                <c:pt idx="14">
                  <c:v>12</c:v>
                </c:pt>
                <c:pt idx="15">
                  <c:v>45</c:v>
                </c:pt>
                <c:pt idx="16">
                  <c:v>32</c:v>
                </c:pt>
                <c:pt idx="17">
                  <c:v>13</c:v>
                </c:pt>
                <c:pt idx="18">
                  <c:v>4</c:v>
                </c:pt>
                <c:pt idx="19">
                  <c:v>2</c:v>
                </c:pt>
                <c:pt idx="20">
                  <c:v>2</c:v>
                </c:pt>
              </c:numCache>
            </c:numRef>
          </c:yVal>
          <c:smooth val="0"/>
          <c:extLst>
            <c:ext xmlns:c16="http://schemas.microsoft.com/office/drawing/2014/chart" uri="{C3380CC4-5D6E-409C-BE32-E72D297353CC}">
              <c16:uniqueId val="{00000001-15AC-45AF-BCA3-862D34CC2E2D}"/>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main!$D$55:$D$75</c:f>
              <c:numCache>
                <c:formatCode>General</c:formatCode>
                <c:ptCount val="21"/>
                <c:pt idx="0">
                  <c:v>5</c:v>
                </c:pt>
                <c:pt idx="1">
                  <c:v>4</c:v>
                </c:pt>
                <c:pt idx="2">
                  <c:v>4</c:v>
                </c:pt>
                <c:pt idx="3">
                  <c:v>3</c:v>
                </c:pt>
                <c:pt idx="4">
                  <c:v>3</c:v>
                </c:pt>
                <c:pt idx="5">
                  <c:v>3</c:v>
                </c:pt>
                <c:pt idx="6">
                  <c:v>2</c:v>
                </c:pt>
                <c:pt idx="7">
                  <c:v>2</c:v>
                </c:pt>
                <c:pt idx="8">
                  <c:v>2</c:v>
                </c:pt>
                <c:pt idx="9">
                  <c:v>2</c:v>
                </c:pt>
                <c:pt idx="10">
                  <c:v>3</c:v>
                </c:pt>
                <c:pt idx="11">
                  <c:v>5</c:v>
                </c:pt>
                <c:pt idx="12">
                  <c:v>4</c:v>
                </c:pt>
                <c:pt idx="13">
                  <c:v>3</c:v>
                </c:pt>
                <c:pt idx="14">
                  <c:v>8</c:v>
                </c:pt>
                <c:pt idx="15">
                  <c:v>35</c:v>
                </c:pt>
                <c:pt idx="16">
                  <c:v>40</c:v>
                </c:pt>
                <c:pt idx="17">
                  <c:v>20</c:v>
                </c:pt>
                <c:pt idx="18">
                  <c:v>10</c:v>
                </c:pt>
                <c:pt idx="19">
                  <c:v>5</c:v>
                </c:pt>
                <c:pt idx="20">
                  <c:v>4</c:v>
                </c:pt>
              </c:numCache>
            </c:numRef>
          </c:yVal>
          <c:smooth val="0"/>
          <c:extLst>
            <c:ext xmlns:c16="http://schemas.microsoft.com/office/drawing/2014/chart" uri="{C3380CC4-5D6E-409C-BE32-E72D297353CC}">
              <c16:uniqueId val="{00000002-15AC-45AF-BCA3-862D34CC2E2D}"/>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Height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pH</a:t>
            </a:r>
            <a:r>
              <a:rPr lang="en-AU" baseline="0"/>
              <a:t> vs time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main!$S$7:$S$27</c:f>
              <c:numCache>
                <c:formatCode>General</c:formatCode>
                <c:ptCount val="21"/>
                <c:pt idx="0">
                  <c:v>6.84</c:v>
                </c:pt>
                <c:pt idx="1">
                  <c:v>8.31</c:v>
                </c:pt>
                <c:pt idx="2">
                  <c:v>8.27</c:v>
                </c:pt>
                <c:pt idx="3">
                  <c:v>8.33</c:v>
                </c:pt>
                <c:pt idx="4">
                  <c:v>8.34</c:v>
                </c:pt>
                <c:pt idx="5">
                  <c:v>8.39</c:v>
                </c:pt>
                <c:pt idx="6">
                  <c:v>8.4499999999999993</c:v>
                </c:pt>
                <c:pt idx="7">
                  <c:v>8.41</c:v>
                </c:pt>
                <c:pt idx="8">
                  <c:v>8.2899999999999991</c:v>
                </c:pt>
                <c:pt idx="9">
                  <c:v>8.39</c:v>
                </c:pt>
                <c:pt idx="10">
                  <c:v>8.2899999999999991</c:v>
                </c:pt>
                <c:pt idx="11">
                  <c:v>8.27</c:v>
                </c:pt>
                <c:pt idx="12">
                  <c:v>8.2799999999999994</c:v>
                </c:pt>
                <c:pt idx="13">
                  <c:v>8.25</c:v>
                </c:pt>
                <c:pt idx="14">
                  <c:v>8.17</c:v>
                </c:pt>
                <c:pt idx="15">
                  <c:v>8.14</c:v>
                </c:pt>
                <c:pt idx="16">
                  <c:v>8.19</c:v>
                </c:pt>
                <c:pt idx="17">
                  <c:v>8.23</c:v>
                </c:pt>
                <c:pt idx="18">
                  <c:v>8.42</c:v>
                </c:pt>
                <c:pt idx="19">
                  <c:v>8.49</c:v>
                </c:pt>
                <c:pt idx="20">
                  <c:v>8.49</c:v>
                </c:pt>
              </c:numCache>
            </c:numRef>
          </c:yVal>
          <c:smooth val="0"/>
          <c:extLst>
            <c:ext xmlns:c16="http://schemas.microsoft.com/office/drawing/2014/chart" uri="{C3380CC4-5D6E-409C-BE32-E72D297353CC}">
              <c16:uniqueId val="{00000000-C835-4420-9A35-10E822F34198}"/>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main!$S$31:$S$51</c:f>
              <c:numCache>
                <c:formatCode>General</c:formatCode>
                <c:ptCount val="21"/>
                <c:pt idx="0">
                  <c:v>8.5399999999999991</c:v>
                </c:pt>
                <c:pt idx="1">
                  <c:v>8.59</c:v>
                </c:pt>
                <c:pt idx="2">
                  <c:v>8.6050000000000004</c:v>
                </c:pt>
                <c:pt idx="3">
                  <c:v>8.61</c:v>
                </c:pt>
                <c:pt idx="4">
                  <c:v>8.6</c:v>
                </c:pt>
                <c:pt idx="5">
                  <c:v>8.65</c:v>
                </c:pt>
                <c:pt idx="6">
                  <c:v>8.64</c:v>
                </c:pt>
                <c:pt idx="7">
                  <c:v>8.6300000000000008</c:v>
                </c:pt>
                <c:pt idx="8">
                  <c:v>8.6199999999999992</c:v>
                </c:pt>
                <c:pt idx="9">
                  <c:v>8.44</c:v>
                </c:pt>
                <c:pt idx="10">
                  <c:v>8.57</c:v>
                </c:pt>
                <c:pt idx="11">
                  <c:v>8.5500000000000007</c:v>
                </c:pt>
                <c:pt idx="12">
                  <c:v>8.5500000000000007</c:v>
                </c:pt>
                <c:pt idx="13">
                  <c:v>8.56</c:v>
                </c:pt>
                <c:pt idx="14">
                  <c:v>8.48</c:v>
                </c:pt>
                <c:pt idx="15">
                  <c:v>8.4499999999999993</c:v>
                </c:pt>
                <c:pt idx="16">
                  <c:v>8.52</c:v>
                </c:pt>
                <c:pt idx="17">
                  <c:v>8.5500000000000007</c:v>
                </c:pt>
                <c:pt idx="18">
                  <c:v>8.57</c:v>
                </c:pt>
                <c:pt idx="19">
                  <c:v>8.58</c:v>
                </c:pt>
                <c:pt idx="20">
                  <c:v>8.6199999999999992</c:v>
                </c:pt>
              </c:numCache>
            </c:numRef>
          </c:yVal>
          <c:smooth val="0"/>
          <c:extLst>
            <c:ext xmlns:c16="http://schemas.microsoft.com/office/drawing/2014/chart" uri="{C3380CC4-5D6E-409C-BE32-E72D297353CC}">
              <c16:uniqueId val="{00000001-C835-4420-9A35-10E822F34198}"/>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main!$S$55:$S$75</c:f>
              <c:numCache>
                <c:formatCode>General</c:formatCode>
                <c:ptCount val="21"/>
                <c:pt idx="0">
                  <c:v>8.48</c:v>
                </c:pt>
                <c:pt idx="1">
                  <c:v>8.6300000000000008</c:v>
                </c:pt>
                <c:pt idx="2">
                  <c:v>8.57</c:v>
                </c:pt>
                <c:pt idx="3">
                  <c:v>8.58</c:v>
                </c:pt>
                <c:pt idx="4">
                  <c:v>8.58</c:v>
                </c:pt>
                <c:pt idx="5">
                  <c:v>8.58</c:v>
                </c:pt>
                <c:pt idx="6">
                  <c:v>8.6</c:v>
                </c:pt>
                <c:pt idx="7">
                  <c:v>8.64</c:v>
                </c:pt>
                <c:pt idx="8">
                  <c:v>8.6199999999999992</c:v>
                </c:pt>
                <c:pt idx="9">
                  <c:v>8.6300000000000008</c:v>
                </c:pt>
                <c:pt idx="10">
                  <c:v>8.6</c:v>
                </c:pt>
                <c:pt idx="11">
                  <c:v>8.5500000000000007</c:v>
                </c:pt>
                <c:pt idx="12">
                  <c:v>8.57</c:v>
                </c:pt>
                <c:pt idx="13">
                  <c:v>8.59</c:v>
                </c:pt>
                <c:pt idx="14">
                  <c:v>8.56</c:v>
                </c:pt>
                <c:pt idx="15">
                  <c:v>8.51</c:v>
                </c:pt>
                <c:pt idx="16">
                  <c:v>8.44</c:v>
                </c:pt>
                <c:pt idx="17">
                  <c:v>8.49</c:v>
                </c:pt>
                <c:pt idx="18">
                  <c:v>8.58</c:v>
                </c:pt>
                <c:pt idx="19">
                  <c:v>8.6</c:v>
                </c:pt>
                <c:pt idx="20">
                  <c:v>8.57</c:v>
                </c:pt>
              </c:numCache>
            </c:numRef>
          </c:yVal>
          <c:smooth val="0"/>
          <c:extLst>
            <c:ext xmlns:c16="http://schemas.microsoft.com/office/drawing/2014/chart" uri="{C3380CC4-5D6E-409C-BE32-E72D297353CC}">
              <c16:uniqueId val="{00000002-C835-4420-9A35-10E822F34198}"/>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min val="6.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pH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Salinity</a:t>
            </a:r>
            <a:r>
              <a:rPr lang="en-AU" baseline="0"/>
              <a:t>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main!$R$7:$R$27</c:f>
              <c:numCache>
                <c:formatCode>General</c:formatCode>
                <c:ptCount val="21"/>
                <c:pt idx="0">
                  <c:v>36.979999999999997</c:v>
                </c:pt>
                <c:pt idx="1">
                  <c:v>38.82</c:v>
                </c:pt>
                <c:pt idx="2">
                  <c:v>38.5</c:v>
                </c:pt>
                <c:pt idx="3">
                  <c:v>38.869999999999997</c:v>
                </c:pt>
                <c:pt idx="4">
                  <c:v>39.18</c:v>
                </c:pt>
                <c:pt idx="5">
                  <c:v>40.200000000000003</c:v>
                </c:pt>
                <c:pt idx="6">
                  <c:v>39.86</c:v>
                </c:pt>
                <c:pt idx="7">
                  <c:v>39.68</c:v>
                </c:pt>
                <c:pt idx="8">
                  <c:v>39.17</c:v>
                </c:pt>
                <c:pt idx="9">
                  <c:v>39.39</c:v>
                </c:pt>
                <c:pt idx="10">
                  <c:v>39.54</c:v>
                </c:pt>
                <c:pt idx="11">
                  <c:v>39.56</c:v>
                </c:pt>
                <c:pt idx="12">
                  <c:v>39.83</c:v>
                </c:pt>
                <c:pt idx="13">
                  <c:v>39.880000000000003</c:v>
                </c:pt>
                <c:pt idx="14">
                  <c:v>39.67</c:v>
                </c:pt>
                <c:pt idx="15">
                  <c:v>38.92</c:v>
                </c:pt>
                <c:pt idx="16">
                  <c:v>39.07</c:v>
                </c:pt>
                <c:pt idx="17">
                  <c:v>39.54</c:v>
                </c:pt>
                <c:pt idx="18">
                  <c:v>39.97</c:v>
                </c:pt>
                <c:pt idx="19">
                  <c:v>39.57</c:v>
                </c:pt>
                <c:pt idx="20">
                  <c:v>39.31</c:v>
                </c:pt>
              </c:numCache>
            </c:numRef>
          </c:yVal>
          <c:smooth val="0"/>
          <c:extLst>
            <c:ext xmlns:c16="http://schemas.microsoft.com/office/drawing/2014/chart" uri="{C3380CC4-5D6E-409C-BE32-E72D297353CC}">
              <c16:uniqueId val="{00000000-7CAB-4910-B2CE-41547D482C2B}"/>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main!$R$31:$R$51</c:f>
              <c:numCache>
                <c:formatCode>General</c:formatCode>
                <c:ptCount val="21"/>
                <c:pt idx="0">
                  <c:v>39.979999999999997</c:v>
                </c:pt>
                <c:pt idx="1">
                  <c:v>40.36</c:v>
                </c:pt>
                <c:pt idx="2">
                  <c:v>40.414999999999999</c:v>
                </c:pt>
                <c:pt idx="3">
                  <c:v>40.22</c:v>
                </c:pt>
                <c:pt idx="4">
                  <c:v>40.5</c:v>
                </c:pt>
                <c:pt idx="5">
                  <c:v>40.549999999999997</c:v>
                </c:pt>
                <c:pt idx="6">
                  <c:v>40.64</c:v>
                </c:pt>
                <c:pt idx="7">
                  <c:v>40.67</c:v>
                </c:pt>
                <c:pt idx="8">
                  <c:v>40.68</c:v>
                </c:pt>
                <c:pt idx="9">
                  <c:v>40.17</c:v>
                </c:pt>
                <c:pt idx="10">
                  <c:v>40.119999999999997</c:v>
                </c:pt>
                <c:pt idx="11">
                  <c:v>40.43</c:v>
                </c:pt>
                <c:pt idx="12">
                  <c:v>40.4</c:v>
                </c:pt>
                <c:pt idx="13">
                  <c:v>40.29</c:v>
                </c:pt>
                <c:pt idx="14">
                  <c:v>39.74</c:v>
                </c:pt>
                <c:pt idx="15">
                  <c:v>39.159999999999997</c:v>
                </c:pt>
                <c:pt idx="16">
                  <c:v>39.54</c:v>
                </c:pt>
                <c:pt idx="17">
                  <c:v>40.119999999999997</c:v>
                </c:pt>
                <c:pt idx="18">
                  <c:v>40.25</c:v>
                </c:pt>
                <c:pt idx="19">
                  <c:v>40.53</c:v>
                </c:pt>
                <c:pt idx="20">
                  <c:v>40.94</c:v>
                </c:pt>
              </c:numCache>
            </c:numRef>
          </c:yVal>
          <c:smooth val="0"/>
          <c:extLst>
            <c:ext xmlns:c16="http://schemas.microsoft.com/office/drawing/2014/chart" uri="{C3380CC4-5D6E-409C-BE32-E72D297353CC}">
              <c16:uniqueId val="{00000001-7CAB-4910-B2CE-41547D482C2B}"/>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main!$R$55:$R$75</c:f>
              <c:numCache>
                <c:formatCode>General</c:formatCode>
                <c:ptCount val="21"/>
                <c:pt idx="0">
                  <c:v>38.340000000000003</c:v>
                </c:pt>
                <c:pt idx="1">
                  <c:v>38.64</c:v>
                </c:pt>
                <c:pt idx="2">
                  <c:v>37.515000000000001</c:v>
                </c:pt>
                <c:pt idx="3">
                  <c:v>38.26</c:v>
                </c:pt>
                <c:pt idx="4">
                  <c:v>39.78</c:v>
                </c:pt>
                <c:pt idx="5">
                  <c:v>40.119999999999997</c:v>
                </c:pt>
                <c:pt idx="6">
                  <c:v>39.94</c:v>
                </c:pt>
                <c:pt idx="7">
                  <c:v>39.96</c:v>
                </c:pt>
                <c:pt idx="8">
                  <c:v>37.89</c:v>
                </c:pt>
                <c:pt idx="9">
                  <c:v>39.51</c:v>
                </c:pt>
                <c:pt idx="10">
                  <c:v>39.549999999999997</c:v>
                </c:pt>
                <c:pt idx="11">
                  <c:v>38.19</c:v>
                </c:pt>
                <c:pt idx="12">
                  <c:v>39.89</c:v>
                </c:pt>
                <c:pt idx="13">
                  <c:v>39.85</c:v>
                </c:pt>
                <c:pt idx="14">
                  <c:v>37.5</c:v>
                </c:pt>
                <c:pt idx="15">
                  <c:v>39.39</c:v>
                </c:pt>
                <c:pt idx="16">
                  <c:v>37.54</c:v>
                </c:pt>
                <c:pt idx="17">
                  <c:v>38.770000000000003</c:v>
                </c:pt>
                <c:pt idx="18">
                  <c:v>37.58</c:v>
                </c:pt>
                <c:pt idx="19">
                  <c:v>37.700000000000003</c:v>
                </c:pt>
                <c:pt idx="20">
                  <c:v>36.96</c:v>
                </c:pt>
              </c:numCache>
            </c:numRef>
          </c:yVal>
          <c:smooth val="0"/>
          <c:extLst>
            <c:ext xmlns:c16="http://schemas.microsoft.com/office/drawing/2014/chart" uri="{C3380CC4-5D6E-409C-BE32-E72D297353CC}">
              <c16:uniqueId val="{00000002-7CAB-4910-B2CE-41547D482C2B}"/>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psu salinity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Massflux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205211330755152E-2"/>
          <c:y val="3.3295395295288778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main!$I$7:$I$27</c:f>
              <c:numCache>
                <c:formatCode>General</c:formatCode>
                <c:ptCount val="21"/>
                <c:pt idx="0">
                  <c:v>60.561344537815131</c:v>
                </c:pt>
                <c:pt idx="1">
                  <c:v>57.31428571428571</c:v>
                </c:pt>
                <c:pt idx="2">
                  <c:v>64.191596638655454</c:v>
                </c:pt>
                <c:pt idx="3">
                  <c:v>63.031932773109247</c:v>
                </c:pt>
                <c:pt idx="4">
                  <c:v>45.667226890756311</c:v>
                </c:pt>
                <c:pt idx="5">
                  <c:v>31.752941176470593</c:v>
                </c:pt>
                <c:pt idx="6">
                  <c:v>24.936134453781513</c:v>
                </c:pt>
                <c:pt idx="7">
                  <c:v>40.213445378151256</c:v>
                </c:pt>
                <c:pt idx="8">
                  <c:v>64.198319327731099</c:v>
                </c:pt>
                <c:pt idx="9">
                  <c:v>52.033613445378158</c:v>
                </c:pt>
                <c:pt idx="10">
                  <c:v>83.507563025210075</c:v>
                </c:pt>
                <c:pt idx="11">
                  <c:v>100.72605042016806</c:v>
                </c:pt>
                <c:pt idx="12">
                  <c:v>112.11428571428571</c:v>
                </c:pt>
                <c:pt idx="13">
                  <c:v>94.092436974789905</c:v>
                </c:pt>
                <c:pt idx="14">
                  <c:v>120.07563025210084</c:v>
                </c:pt>
                <c:pt idx="15">
                  <c:v>219.54285714285717</c:v>
                </c:pt>
                <c:pt idx="16">
                  <c:v>73.226890756302524</c:v>
                </c:pt>
                <c:pt idx="17">
                  <c:v>54.771428571428579</c:v>
                </c:pt>
                <c:pt idx="18">
                  <c:v>22.255462184873952</c:v>
                </c:pt>
                <c:pt idx="19">
                  <c:v>11.341176470588234</c:v>
                </c:pt>
                <c:pt idx="20">
                  <c:v>24.144537815126046</c:v>
                </c:pt>
              </c:numCache>
            </c:numRef>
          </c:yVal>
          <c:smooth val="0"/>
          <c:extLst>
            <c:ext xmlns:c16="http://schemas.microsoft.com/office/drawing/2014/chart" uri="{C3380CC4-5D6E-409C-BE32-E72D297353CC}">
              <c16:uniqueId val="{00000000-9BEA-430E-8A76-EA0A1DA40438}"/>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main!$I$31:$I$51</c:f>
              <c:numCache>
                <c:formatCode>General</c:formatCode>
                <c:ptCount val="21"/>
                <c:pt idx="0">
                  <c:v>67.327731092436977</c:v>
                </c:pt>
                <c:pt idx="1">
                  <c:v>49.887394957983197</c:v>
                </c:pt>
                <c:pt idx="2">
                  <c:v>68.820168067226888</c:v>
                </c:pt>
                <c:pt idx="3">
                  <c:v>63.450420168067225</c:v>
                </c:pt>
                <c:pt idx="4">
                  <c:v>49.774789915966387</c:v>
                </c:pt>
                <c:pt idx="5">
                  <c:v>32.59159663865546</c:v>
                </c:pt>
                <c:pt idx="6">
                  <c:v>33.773109243697476</c:v>
                </c:pt>
                <c:pt idx="7">
                  <c:v>33.700840336134455</c:v>
                </c:pt>
                <c:pt idx="8">
                  <c:v>54.3764705882353</c:v>
                </c:pt>
                <c:pt idx="9">
                  <c:v>60.421848739495815</c:v>
                </c:pt>
                <c:pt idx="10">
                  <c:v>65.048739495798316</c:v>
                </c:pt>
                <c:pt idx="11">
                  <c:v>92.620168067226913</c:v>
                </c:pt>
                <c:pt idx="12">
                  <c:v>90.537815126050432</c:v>
                </c:pt>
                <c:pt idx="13">
                  <c:v>102.03697478991596</c:v>
                </c:pt>
                <c:pt idx="14">
                  <c:v>96.302521008403374</c:v>
                </c:pt>
                <c:pt idx="15">
                  <c:v>201.53781512605045</c:v>
                </c:pt>
                <c:pt idx="16">
                  <c:v>135.71428571428572</c:v>
                </c:pt>
                <c:pt idx="17">
                  <c:v>84.779831932773135</c:v>
                </c:pt>
                <c:pt idx="18">
                  <c:v>52.994957983193274</c:v>
                </c:pt>
                <c:pt idx="19">
                  <c:v>36.386554621848745</c:v>
                </c:pt>
                <c:pt idx="20">
                  <c:v>24.176470588235293</c:v>
                </c:pt>
              </c:numCache>
            </c:numRef>
          </c:yVal>
          <c:smooth val="0"/>
          <c:extLst>
            <c:ext xmlns:c16="http://schemas.microsoft.com/office/drawing/2014/chart" uri="{C3380CC4-5D6E-409C-BE32-E72D297353CC}">
              <c16:uniqueId val="{00000001-9BEA-430E-8A76-EA0A1DA40438}"/>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main!$I$55:$I$75</c:f>
              <c:numCache>
                <c:formatCode>General</c:formatCode>
                <c:ptCount val="21"/>
                <c:pt idx="0">
                  <c:v>47.957983193277322</c:v>
                </c:pt>
                <c:pt idx="1">
                  <c:v>40.410084033613444</c:v>
                </c:pt>
                <c:pt idx="2">
                  <c:v>48.557983193277316</c:v>
                </c:pt>
                <c:pt idx="3">
                  <c:v>62.240336134453777</c:v>
                </c:pt>
                <c:pt idx="4">
                  <c:v>43.109243697478995</c:v>
                </c:pt>
                <c:pt idx="5">
                  <c:v>36.941176470588232</c:v>
                </c:pt>
                <c:pt idx="6">
                  <c:v>42</c:v>
                </c:pt>
                <c:pt idx="7">
                  <c:v>31.003361344537812</c:v>
                </c:pt>
                <c:pt idx="8">
                  <c:v>38.680672268907564</c:v>
                </c:pt>
                <c:pt idx="9">
                  <c:v>53.389915966386553</c:v>
                </c:pt>
                <c:pt idx="10">
                  <c:v>65.297478991596634</c:v>
                </c:pt>
                <c:pt idx="11">
                  <c:v>85.685714285714297</c:v>
                </c:pt>
                <c:pt idx="12">
                  <c:v>81.786554621848737</c:v>
                </c:pt>
                <c:pt idx="13">
                  <c:v>78.482352941176458</c:v>
                </c:pt>
                <c:pt idx="14">
                  <c:v>69.615126050420159</c:v>
                </c:pt>
                <c:pt idx="15">
                  <c:v>149.03193277310925</c:v>
                </c:pt>
                <c:pt idx="16">
                  <c:v>146.38823529411764</c:v>
                </c:pt>
                <c:pt idx="17">
                  <c:v>97.223529411764702</c:v>
                </c:pt>
                <c:pt idx="18">
                  <c:v>62.902521008403362</c:v>
                </c:pt>
                <c:pt idx="19">
                  <c:v>36.206722689075633</c:v>
                </c:pt>
                <c:pt idx="20">
                  <c:v>45.69747899159664</c:v>
                </c:pt>
              </c:numCache>
            </c:numRef>
          </c:yVal>
          <c:smooth val="0"/>
          <c:extLst>
            <c:ext xmlns:c16="http://schemas.microsoft.com/office/drawing/2014/chart" uri="{C3380CC4-5D6E-409C-BE32-E72D297353CC}">
              <c16:uniqueId val="{00000002-9BEA-430E-8A76-EA0A1DA40438}"/>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Massflux mg m-2 d-1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SAZ23 %PIC</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main!$AG$7:$AG$27</c:f>
              <c:numCache>
                <c:formatCode>General</c:formatCode>
                <c:ptCount val="21"/>
                <c:pt idx="0">
                  <c:v>6.7342731861477496</c:v>
                </c:pt>
                <c:pt idx="1">
                  <c:v>8.0367028521906061</c:v>
                </c:pt>
                <c:pt idx="2">
                  <c:v>7.798238813976317</c:v>
                </c:pt>
                <c:pt idx="3">
                  <c:v>8.2538732255592659</c:v>
                </c:pt>
                <c:pt idx="4">
                  <c:v>8.3181696139235246</c:v>
                </c:pt>
                <c:pt idx="5">
                  <c:v>7.8617804028917284</c:v>
                </c:pt>
                <c:pt idx="6">
                  <c:v>7.8798593883344408</c:v>
                </c:pt>
                <c:pt idx="7">
                  <c:v>7.6564884614842281</c:v>
                </c:pt>
                <c:pt idx="8">
                  <c:v>7.8880808735898666</c:v>
                </c:pt>
                <c:pt idx="9">
                  <c:v>7.7676799008117499</c:v>
                </c:pt>
                <c:pt idx="10">
                  <c:v>8.4509068418503919</c:v>
                </c:pt>
                <c:pt idx="11">
                  <c:v>8.4217689999474654</c:v>
                </c:pt>
                <c:pt idx="12">
                  <c:v>8.5007255004169959</c:v>
                </c:pt>
                <c:pt idx="13">
                  <c:v>8.0849641780476134</c:v>
                </c:pt>
                <c:pt idx="14">
                  <c:v>6.7573641345428639</c:v>
                </c:pt>
                <c:pt idx="15">
                  <c:v>4.5067003073717808</c:v>
                </c:pt>
                <c:pt idx="16">
                  <c:v>5.1143445685191278</c:v>
                </c:pt>
                <c:pt idx="17">
                  <c:v>5.7290735833559649</c:v>
                </c:pt>
                <c:pt idx="18">
                  <c:v>6.727139389025738</c:v>
                </c:pt>
                <c:pt idx="19">
                  <c:v>7.1607163049676279</c:v>
                </c:pt>
                <c:pt idx="20">
                  <c:v>6.808010581825104</c:v>
                </c:pt>
              </c:numCache>
            </c:numRef>
          </c:yVal>
          <c:smooth val="0"/>
          <c:extLst>
            <c:ext xmlns:c16="http://schemas.microsoft.com/office/drawing/2014/chart" uri="{C3380CC4-5D6E-409C-BE32-E72D297353CC}">
              <c16:uniqueId val="{00000000-8AB4-4FE9-81C1-D98EE7FC0CAB}"/>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main!$AG$31:$AG$51</c:f>
              <c:numCache>
                <c:formatCode>General</c:formatCode>
                <c:ptCount val="21"/>
                <c:pt idx="0">
                  <c:v>7.87518056287563</c:v>
                </c:pt>
                <c:pt idx="1">
                  <c:v>8.4088019601284429</c:v>
                </c:pt>
                <c:pt idx="2">
                  <c:v>8.4085504059317078</c:v>
                </c:pt>
                <c:pt idx="3">
                  <c:v>8.3926524004525511</c:v>
                </c:pt>
                <c:pt idx="4">
                  <c:v>8.4305821303912101</c:v>
                </c:pt>
                <c:pt idx="5">
                  <c:v>8.6284692640094018</c:v>
                </c:pt>
                <c:pt idx="6">
                  <c:v>8.2091237017230689</c:v>
                </c:pt>
                <c:pt idx="7">
                  <c:v>8.5228754912232656</c:v>
                </c:pt>
                <c:pt idx="8">
                  <c:v>8.431402382527498</c:v>
                </c:pt>
                <c:pt idx="9">
                  <c:v>7.8700339773958561</c:v>
                </c:pt>
                <c:pt idx="10">
                  <c:v>8.6336954860006507</c:v>
                </c:pt>
                <c:pt idx="11">
                  <c:v>8.6302115807841737</c:v>
                </c:pt>
                <c:pt idx="12">
                  <c:v>8.7891457807446223</c:v>
                </c:pt>
                <c:pt idx="13">
                  <c:v>8.558302172520321</c:v>
                </c:pt>
                <c:pt idx="14">
                  <c:v>7.4581773950198391</c:v>
                </c:pt>
                <c:pt idx="15">
                  <c:v>5.5036599210064061</c:v>
                </c:pt>
                <c:pt idx="16">
                  <c:v>5.7023018297354433</c:v>
                </c:pt>
                <c:pt idx="17">
                  <c:v>6.2137342492012086</c:v>
                </c:pt>
                <c:pt idx="18">
                  <c:v>7.1856095139237945</c:v>
                </c:pt>
                <c:pt idx="19">
                  <c:v>7.6385728245013134</c:v>
                </c:pt>
                <c:pt idx="20">
                  <c:v>7.5668933692272873</c:v>
                </c:pt>
              </c:numCache>
            </c:numRef>
          </c:yVal>
          <c:smooth val="0"/>
          <c:extLst>
            <c:ext xmlns:c16="http://schemas.microsoft.com/office/drawing/2014/chart" uri="{C3380CC4-5D6E-409C-BE32-E72D297353CC}">
              <c16:uniqueId val="{00000001-8AB4-4FE9-81C1-D98EE7FC0CAB}"/>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44323.5</c:v>
                </c:pt>
                <c:pt idx="1">
                  <c:v>44340.5</c:v>
                </c:pt>
                <c:pt idx="2">
                  <c:v>44357.5</c:v>
                </c:pt>
                <c:pt idx="3">
                  <c:v>44374.5</c:v>
                </c:pt>
                <c:pt idx="4">
                  <c:v>44391.5</c:v>
                </c:pt>
                <c:pt idx="5">
                  <c:v>44408.5</c:v>
                </c:pt>
                <c:pt idx="6">
                  <c:v>44425.5</c:v>
                </c:pt>
                <c:pt idx="7">
                  <c:v>44442.5</c:v>
                </c:pt>
                <c:pt idx="8">
                  <c:v>44459.5</c:v>
                </c:pt>
                <c:pt idx="9">
                  <c:v>44476.5</c:v>
                </c:pt>
                <c:pt idx="10">
                  <c:v>44493.5</c:v>
                </c:pt>
                <c:pt idx="11">
                  <c:v>44510.5</c:v>
                </c:pt>
                <c:pt idx="12">
                  <c:v>44527.5</c:v>
                </c:pt>
                <c:pt idx="13">
                  <c:v>44544.5</c:v>
                </c:pt>
                <c:pt idx="14">
                  <c:v>44561.5</c:v>
                </c:pt>
                <c:pt idx="15">
                  <c:v>44578.5</c:v>
                </c:pt>
                <c:pt idx="16">
                  <c:v>44595.5</c:v>
                </c:pt>
                <c:pt idx="17">
                  <c:v>44612.5</c:v>
                </c:pt>
                <c:pt idx="18">
                  <c:v>44629.5</c:v>
                </c:pt>
                <c:pt idx="19">
                  <c:v>44646.5</c:v>
                </c:pt>
                <c:pt idx="20">
                  <c:v>44663.5</c:v>
                </c:pt>
              </c:numCache>
            </c:numRef>
          </c:xVal>
          <c:yVal>
            <c:numRef>
              <c:f>main!$AG$55:$AG$75</c:f>
              <c:numCache>
                <c:formatCode>General</c:formatCode>
                <c:ptCount val="21"/>
                <c:pt idx="0">
                  <c:v>8.0542095480806069</c:v>
                </c:pt>
                <c:pt idx="1">
                  <c:v>8.5605111894077695</c:v>
                </c:pt>
                <c:pt idx="2">
                  <c:v>8.3574306930754965</c:v>
                </c:pt>
                <c:pt idx="3">
                  <c:v>8.8585817717852837</c:v>
                </c:pt>
                <c:pt idx="4">
                  <c:v>8.3057587198402754</c:v>
                </c:pt>
                <c:pt idx="5">
                  <c:v>8.1021450251550888</c:v>
                </c:pt>
                <c:pt idx="6">
                  <c:v>8.4018330408759123</c:v>
                </c:pt>
                <c:pt idx="7">
                  <c:v>8.6215139032753907</c:v>
                </c:pt>
                <c:pt idx="8">
                  <c:v>8.7319885831936332</c:v>
                </c:pt>
                <c:pt idx="9">
                  <c:v>8.7619362666196654</c:v>
                </c:pt>
                <c:pt idx="10">
                  <c:v>8.6780329227079971</c:v>
                </c:pt>
                <c:pt idx="11">
                  <c:v>8.8490264739586433</c:v>
                </c:pt>
                <c:pt idx="12">
                  <c:v>8.606274081700624</c:v>
                </c:pt>
                <c:pt idx="13">
                  <c:v>8.6236200295344627</c:v>
                </c:pt>
                <c:pt idx="14">
                  <c:v>8.3159099626883144</c:v>
                </c:pt>
                <c:pt idx="15">
                  <c:v>6.1814131830628556</c:v>
                </c:pt>
                <c:pt idx="16">
                  <c:v>6.0327113199415843</c:v>
                </c:pt>
                <c:pt idx="17">
                  <c:v>6.6850665095128745</c:v>
                </c:pt>
                <c:pt idx="18">
                  <c:v>7.7213986185537307</c:v>
                </c:pt>
                <c:pt idx="19">
                  <c:v>7.8366118846773549</c:v>
                </c:pt>
                <c:pt idx="20">
                  <c:v>8.5011941635284192</c:v>
                </c:pt>
              </c:numCache>
            </c:numRef>
          </c:yVal>
          <c:smooth val="0"/>
          <c:extLst>
            <c:ext xmlns:c16="http://schemas.microsoft.com/office/drawing/2014/chart" uri="{C3380CC4-5D6E-409C-BE32-E72D297353CC}">
              <c16:uniqueId val="{00000002-8AB4-4FE9-81C1-D98EE7FC0CA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%PIC</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39</xdr:col>
      <xdr:colOff>0</xdr:colOff>
      <xdr:row>25</xdr:row>
      <xdr:rowOff>0</xdr:rowOff>
    </xdr:from>
    <xdr:to>
      <xdr:col>52</xdr:col>
      <xdr:colOff>350611</xdr:colOff>
      <xdr:row>45</xdr:row>
      <xdr:rowOff>142876</xdr:rowOff>
    </xdr:to>
    <xdr:graphicFrame macro="">
      <xdr:nvGraphicFramePr>
        <xdr:cNvPr id="2" name="Chart 1">
          <a:extLst>
            <a:ext uri="{FF2B5EF4-FFF2-40B4-BE49-F238E27FC236}">
              <a16:creationId xmlns:a16="http://schemas.microsoft.com/office/drawing/2014/main" id="{D21C30FB-E54B-4C63-BCF7-2E620822D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495300</xdr:colOff>
      <xdr:row>3</xdr:row>
      <xdr:rowOff>139700</xdr:rowOff>
    </xdr:from>
    <xdr:to>
      <xdr:col>29</xdr:col>
      <xdr:colOff>575469</xdr:colOff>
      <xdr:row>22</xdr:row>
      <xdr:rowOff>131762</xdr:rowOff>
    </xdr:to>
    <xdr:graphicFrame macro="">
      <xdr:nvGraphicFramePr>
        <xdr:cNvPr id="2" name="Chart 1">
          <a:extLst>
            <a:ext uri="{FF2B5EF4-FFF2-40B4-BE49-F238E27FC236}">
              <a16:creationId xmlns:a16="http://schemas.microsoft.com/office/drawing/2014/main" id="{0F519906-5BBF-43C9-8909-3C862385C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198437</xdr:colOff>
      <xdr:row>23</xdr:row>
      <xdr:rowOff>103187</xdr:rowOff>
    </xdr:from>
    <xdr:to>
      <xdr:col>30</xdr:col>
      <xdr:colOff>278607</xdr:colOff>
      <xdr:row>42</xdr:row>
      <xdr:rowOff>81756</xdr:rowOff>
    </xdr:to>
    <xdr:graphicFrame macro="">
      <xdr:nvGraphicFramePr>
        <xdr:cNvPr id="3" name="Chart 2">
          <a:extLst>
            <a:ext uri="{FF2B5EF4-FFF2-40B4-BE49-F238E27FC236}">
              <a16:creationId xmlns:a16="http://schemas.microsoft.com/office/drawing/2014/main" id="{20F5E355-B191-486E-8EB0-D72F92702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23</xdr:col>
      <xdr:colOff>0</xdr:colOff>
      <xdr:row>32</xdr:row>
      <xdr:rowOff>0</xdr:rowOff>
    </xdr:from>
    <xdr:to>
      <xdr:col>36</xdr:col>
      <xdr:colOff>44273</xdr:colOff>
      <xdr:row>54</xdr:row>
      <xdr:rowOff>21343</xdr:rowOff>
    </xdr:to>
    <xdr:graphicFrame macro="">
      <xdr:nvGraphicFramePr>
        <xdr:cNvPr id="2" name="Chart 1">
          <a:extLst>
            <a:ext uri="{FF2B5EF4-FFF2-40B4-BE49-F238E27FC236}">
              <a16:creationId xmlns:a16="http://schemas.microsoft.com/office/drawing/2014/main" id="{8532193F-48F9-4767-8A2E-5158B0041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456747</xdr:colOff>
      <xdr:row>23</xdr:row>
      <xdr:rowOff>181203</xdr:rowOff>
    </xdr:to>
    <xdr:graphicFrame macro="">
      <xdr:nvGraphicFramePr>
        <xdr:cNvPr id="2" name="Chart 1">
          <a:extLst>
            <a:ext uri="{FF2B5EF4-FFF2-40B4-BE49-F238E27FC236}">
              <a16:creationId xmlns:a16="http://schemas.microsoft.com/office/drawing/2014/main" id="{36B44A68-A523-48FE-ACFD-67BF3F505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35379</xdr:colOff>
      <xdr:row>0</xdr:row>
      <xdr:rowOff>0</xdr:rowOff>
    </xdr:from>
    <xdr:to>
      <xdr:col>25</xdr:col>
      <xdr:colOff>493941</xdr:colOff>
      <xdr:row>24</xdr:row>
      <xdr:rowOff>6124</xdr:rowOff>
    </xdr:to>
    <xdr:graphicFrame macro="">
      <xdr:nvGraphicFramePr>
        <xdr:cNvPr id="3" name="Chart 2">
          <a:extLst>
            <a:ext uri="{FF2B5EF4-FFF2-40B4-BE49-F238E27FC236}">
              <a16:creationId xmlns:a16="http://schemas.microsoft.com/office/drawing/2014/main" id="{5FCD8AD2-5F20-400E-9D45-D0F5DB3DF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70757</xdr:colOff>
      <xdr:row>0</xdr:row>
      <xdr:rowOff>0</xdr:rowOff>
    </xdr:from>
    <xdr:to>
      <xdr:col>38</xdr:col>
      <xdr:colOff>529319</xdr:colOff>
      <xdr:row>24</xdr:row>
      <xdr:rowOff>6125</xdr:rowOff>
    </xdr:to>
    <xdr:graphicFrame macro="">
      <xdr:nvGraphicFramePr>
        <xdr:cNvPr id="4" name="Chart 3">
          <a:extLst>
            <a:ext uri="{FF2B5EF4-FFF2-40B4-BE49-F238E27FC236}">
              <a16:creationId xmlns:a16="http://schemas.microsoft.com/office/drawing/2014/main" id="{9307A7C3-93E2-4F87-9EE8-BC0573683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0</xdr:rowOff>
    </xdr:from>
    <xdr:to>
      <xdr:col>12</xdr:col>
      <xdr:colOff>456747</xdr:colOff>
      <xdr:row>48</xdr:row>
      <xdr:rowOff>181203</xdr:rowOff>
    </xdr:to>
    <xdr:graphicFrame macro="">
      <xdr:nvGraphicFramePr>
        <xdr:cNvPr id="5" name="Chart 4">
          <a:extLst>
            <a:ext uri="{FF2B5EF4-FFF2-40B4-BE49-F238E27FC236}">
              <a16:creationId xmlns:a16="http://schemas.microsoft.com/office/drawing/2014/main" id="{D15F3830-474C-4076-952E-1CB786EBB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459014</xdr:colOff>
      <xdr:row>25</xdr:row>
      <xdr:rowOff>158750</xdr:rowOff>
    </xdr:from>
    <xdr:to>
      <xdr:col>26</xdr:col>
      <xdr:colOff>9977</xdr:colOff>
      <xdr:row>48</xdr:row>
      <xdr:rowOff>68943</xdr:rowOff>
    </xdr:to>
    <xdr:graphicFrame macro="">
      <xdr:nvGraphicFramePr>
        <xdr:cNvPr id="6" name="Chart 5">
          <a:extLst>
            <a:ext uri="{FF2B5EF4-FFF2-40B4-BE49-F238E27FC236}">
              <a16:creationId xmlns:a16="http://schemas.microsoft.com/office/drawing/2014/main" id="{1A11247B-E4C8-4E9E-B6FA-CA8D9D172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43543</xdr:colOff>
      <xdr:row>25</xdr:row>
      <xdr:rowOff>40821</xdr:rowOff>
    </xdr:from>
    <xdr:to>
      <xdr:col>39</xdr:col>
      <xdr:colOff>204108</xdr:colOff>
      <xdr:row>47</xdr:row>
      <xdr:rowOff>132443</xdr:rowOff>
    </xdr:to>
    <xdr:graphicFrame macro="">
      <xdr:nvGraphicFramePr>
        <xdr:cNvPr id="7" name="Chart 6">
          <a:extLst>
            <a:ext uri="{FF2B5EF4-FFF2-40B4-BE49-F238E27FC236}">
              <a16:creationId xmlns:a16="http://schemas.microsoft.com/office/drawing/2014/main" id="{C9C4FE52-8B7F-48B8-9858-D7A6B4891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0</xdr:rowOff>
    </xdr:from>
    <xdr:to>
      <xdr:col>13</xdr:col>
      <xdr:colOff>160563</xdr:colOff>
      <xdr:row>73</xdr:row>
      <xdr:rowOff>100693</xdr:rowOff>
    </xdr:to>
    <xdr:graphicFrame macro="">
      <xdr:nvGraphicFramePr>
        <xdr:cNvPr id="8" name="Chart 7">
          <a:extLst>
            <a:ext uri="{FF2B5EF4-FFF2-40B4-BE49-F238E27FC236}">
              <a16:creationId xmlns:a16="http://schemas.microsoft.com/office/drawing/2014/main" id="{FAFC42DF-B863-4CA4-BBDD-3C38DB201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271236</xdr:colOff>
      <xdr:row>50</xdr:row>
      <xdr:rowOff>136071</xdr:rowOff>
    </xdr:from>
    <xdr:to>
      <xdr:col>26</xdr:col>
      <xdr:colOff>431797</xdr:colOff>
      <xdr:row>73</xdr:row>
      <xdr:rowOff>46264</xdr:rowOff>
    </xdr:to>
    <xdr:graphicFrame macro="">
      <xdr:nvGraphicFramePr>
        <xdr:cNvPr id="9" name="Chart 8">
          <a:extLst>
            <a:ext uri="{FF2B5EF4-FFF2-40B4-BE49-F238E27FC236}">
              <a16:creationId xmlns:a16="http://schemas.microsoft.com/office/drawing/2014/main" id="{91EF6F21-F8AD-4C54-A9E4-DA0F83516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76</xdr:row>
      <xdr:rowOff>0</xdr:rowOff>
    </xdr:from>
    <xdr:to>
      <xdr:col>27</xdr:col>
      <xdr:colOff>164797</xdr:colOff>
      <xdr:row>98</xdr:row>
      <xdr:rowOff>90110</xdr:rowOff>
    </xdr:to>
    <xdr:graphicFrame macro="">
      <xdr:nvGraphicFramePr>
        <xdr:cNvPr id="10" name="Chart 9">
          <a:extLst>
            <a:ext uri="{FF2B5EF4-FFF2-40B4-BE49-F238E27FC236}">
              <a16:creationId xmlns:a16="http://schemas.microsoft.com/office/drawing/2014/main" id="{6172CFD0-8A58-403F-8771-78B22D75C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415471</xdr:colOff>
      <xdr:row>76</xdr:row>
      <xdr:rowOff>9070</xdr:rowOff>
    </xdr:from>
    <xdr:to>
      <xdr:col>40</xdr:col>
      <xdr:colOff>576033</xdr:colOff>
      <xdr:row>98</xdr:row>
      <xdr:rowOff>99181</xdr:rowOff>
    </xdr:to>
    <xdr:graphicFrame macro="">
      <xdr:nvGraphicFramePr>
        <xdr:cNvPr id="11" name="Chart 10">
          <a:extLst>
            <a:ext uri="{FF2B5EF4-FFF2-40B4-BE49-F238E27FC236}">
              <a16:creationId xmlns:a16="http://schemas.microsoft.com/office/drawing/2014/main" id="{D8380C0D-4EC7-4F39-8B6A-CC817CFF8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thryn Wynn-Edwards" id="{14A5D8CA-DD32-476A-A796-DABD0B5B177E}"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9" dT="2022-06-21T05:16:05.85" personId="{14A5D8CA-DD32-476A-A796-DABD0B5B177E}" id="{86A39DE8-CE9F-4240-A70A-D4C67144007A}">
    <text>average of duplicate measurement</text>
  </threadedComment>
  <threadedComment ref="S9" dT="2022-06-21T05:15:18.92" personId="{14A5D8CA-DD32-476A-A796-DABD0B5B177E}" id="{2A24B530-5200-4BFB-B33D-DE3BF5E4F966}">
    <text>average of duplicate measurement</text>
  </threadedComment>
  <threadedComment ref="R18" dT="2022-06-21T05:16:20.83" personId="{14A5D8CA-DD32-476A-A796-DABD0B5B177E}" id="{AB490B64-A8E1-458F-AADC-5D66F6B606B5}">
    <text>average of duplicate measurement</text>
  </threadedComment>
  <threadedComment ref="S18" dT="2022-06-21T05:15:07.96" personId="{14A5D8CA-DD32-476A-A796-DABD0B5B177E}" id="{C394EF28-5D3E-49FB-BF5F-3E1C22339B98}">
    <text>average of duplicate measurement</text>
  </threadedComment>
  <threadedComment ref="R33" dT="2022-06-21T05:17:23.74" personId="{14A5D8CA-DD32-476A-A796-DABD0B5B177E}" id="{88B548CC-6D7E-472F-84BF-BF244B4088B5}">
    <text>average of duplicate measurement</text>
  </threadedComment>
  <threadedComment ref="S33" dT="2022-06-21T05:16:49.76" personId="{14A5D8CA-DD32-476A-A796-DABD0B5B177E}" id="{46D4814F-1F2F-400D-9659-C43BA183C817}">
    <text>average of duplicate measurement</text>
  </threadedComment>
  <threadedComment ref="R42" dT="2022-06-21T05:17:38.80" personId="{14A5D8CA-DD32-476A-A796-DABD0B5B177E}" id="{F9BFD720-84F7-434B-A0EF-323599D395F9}">
    <text>average of duplicate measurement</text>
  </threadedComment>
  <threadedComment ref="S42" dT="2022-06-21T05:17:07.88" personId="{14A5D8CA-DD32-476A-A796-DABD0B5B177E}" id="{C0345B61-C73C-44B3-99CF-62A51880D8CB}">
    <text>average of duplicate measurement</text>
  </threadedComment>
  <threadedComment ref="R57" dT="2022-06-21T05:18:43.23" personId="{14A5D8CA-DD32-476A-A796-DABD0B5B177E}" id="{5F410DB7-5A16-4E2D-B34A-21ECD7C2199F}">
    <text>average of duplicate measurement</text>
  </threadedComment>
  <threadedComment ref="S57" dT="2022-06-21T05:18:17.63" personId="{14A5D8CA-DD32-476A-A796-DABD0B5B177E}" id="{6BE31CC4-DC03-4F32-9376-8BF960D97CAC}">
    <text>average of duplicate measurement</text>
  </threadedComment>
  <threadedComment ref="R66" dT="2022-06-21T05:18:59.49" personId="{14A5D8CA-DD32-476A-A796-DABD0B5B177E}" id="{82192129-07D4-4185-9BD7-5373B560941B}">
    <text>average of duplicate measurement</text>
  </threadedComment>
  <threadedComment ref="S66" dT="2022-06-21T05:18:30.08" personId="{14A5D8CA-DD32-476A-A796-DABD0B5B177E}" id="{2F18607E-1FDF-4D04-A7FC-32D2A5A93269}">
    <text>average of duplicate measurement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0C27-045A-4A02-AC0B-D4024938E067}">
  <dimension ref="A1:L42"/>
  <sheetViews>
    <sheetView topLeftCell="A23" zoomScaleNormal="100" workbookViewId="0">
      <selection activeCell="P33" sqref="P33"/>
    </sheetView>
  </sheetViews>
  <sheetFormatPr defaultColWidth="10.1796875" defaultRowHeight="14.5"/>
  <cols>
    <col min="1" max="1" width="13.1796875" customWidth="1"/>
    <col min="2" max="2" width="9.81640625" customWidth="1"/>
    <col min="3" max="3" width="9.1796875" customWidth="1"/>
    <col min="4" max="4" width="12.453125" customWidth="1"/>
    <col min="5" max="5" width="13" customWidth="1"/>
    <col min="6" max="6" width="10.81640625" customWidth="1"/>
    <col min="7" max="7" width="9.54296875" customWidth="1"/>
    <col min="8" max="8" width="12.54296875" customWidth="1"/>
    <col min="9" max="9" width="13.81640625" customWidth="1"/>
    <col min="10" max="10" width="10.453125" customWidth="1"/>
    <col min="11" max="11" width="10.81640625" customWidth="1"/>
    <col min="12" max="12" width="9.1796875" customWidth="1"/>
  </cols>
  <sheetData>
    <row r="1" spans="1:12" ht="39.65" customHeight="1">
      <c r="A1" s="60" t="s">
        <v>89</v>
      </c>
      <c r="B1" s="61" t="s">
        <v>43</v>
      </c>
      <c r="C1" s="62" t="s">
        <v>44</v>
      </c>
      <c r="D1" s="63" t="s">
        <v>45</v>
      </c>
      <c r="E1" s="60" t="s">
        <v>89</v>
      </c>
      <c r="F1" s="64" t="s">
        <v>46</v>
      </c>
      <c r="G1" s="62" t="s">
        <v>44</v>
      </c>
      <c r="H1" s="63" t="s">
        <v>45</v>
      </c>
      <c r="I1" s="60" t="s">
        <v>89</v>
      </c>
      <c r="J1" s="64" t="s">
        <v>47</v>
      </c>
      <c r="K1" s="62" t="s">
        <v>44</v>
      </c>
      <c r="L1" s="63" t="s">
        <v>45</v>
      </c>
    </row>
    <row r="2" spans="1:12" ht="39.65" customHeight="1">
      <c r="A2" s="60" t="s">
        <v>89</v>
      </c>
      <c r="B2" s="61" t="s">
        <v>43</v>
      </c>
      <c r="C2" s="62" t="s">
        <v>48</v>
      </c>
      <c r="D2" s="63" t="s">
        <v>45</v>
      </c>
      <c r="E2" s="60" t="s">
        <v>89</v>
      </c>
      <c r="F2" s="64" t="s">
        <v>46</v>
      </c>
      <c r="G2" s="62" t="s">
        <v>48</v>
      </c>
      <c r="H2" s="63" t="s">
        <v>45</v>
      </c>
      <c r="I2" s="60" t="s">
        <v>89</v>
      </c>
      <c r="J2" s="64" t="s">
        <v>47</v>
      </c>
      <c r="K2" s="62" t="s">
        <v>48</v>
      </c>
      <c r="L2" s="63" t="s">
        <v>45</v>
      </c>
    </row>
    <row r="3" spans="1:12" ht="39.65" customHeight="1">
      <c r="A3" s="60" t="s">
        <v>89</v>
      </c>
      <c r="B3" s="61" t="s">
        <v>43</v>
      </c>
      <c r="C3" s="62" t="s">
        <v>49</v>
      </c>
      <c r="D3" s="63" t="s">
        <v>45</v>
      </c>
      <c r="E3" s="60" t="s">
        <v>89</v>
      </c>
      <c r="F3" s="64" t="s">
        <v>46</v>
      </c>
      <c r="G3" s="62" t="s">
        <v>49</v>
      </c>
      <c r="H3" s="63" t="s">
        <v>45</v>
      </c>
      <c r="I3" s="60" t="s">
        <v>89</v>
      </c>
      <c r="J3" s="64" t="s">
        <v>47</v>
      </c>
      <c r="K3" s="62" t="s">
        <v>49</v>
      </c>
      <c r="L3" s="63" t="s">
        <v>45</v>
      </c>
    </row>
    <row r="4" spans="1:12" ht="39.65" customHeight="1">
      <c r="A4" s="60" t="s">
        <v>89</v>
      </c>
      <c r="B4" s="61" t="s">
        <v>43</v>
      </c>
      <c r="C4" s="62" t="s">
        <v>50</v>
      </c>
      <c r="D4" s="63" t="s">
        <v>45</v>
      </c>
      <c r="E4" s="60" t="s">
        <v>89</v>
      </c>
      <c r="F4" s="64" t="s">
        <v>46</v>
      </c>
      <c r="G4" s="62" t="s">
        <v>50</v>
      </c>
      <c r="H4" s="63" t="s">
        <v>45</v>
      </c>
      <c r="I4" s="60" t="s">
        <v>89</v>
      </c>
      <c r="J4" s="64" t="s">
        <v>47</v>
      </c>
      <c r="K4" s="62" t="s">
        <v>50</v>
      </c>
      <c r="L4" s="63" t="s">
        <v>45</v>
      </c>
    </row>
    <row r="5" spans="1:12" ht="39.65" customHeight="1">
      <c r="A5" s="60" t="s">
        <v>89</v>
      </c>
      <c r="B5" s="61" t="s">
        <v>43</v>
      </c>
      <c r="C5" s="62" t="s">
        <v>51</v>
      </c>
      <c r="D5" s="63" t="s">
        <v>45</v>
      </c>
      <c r="E5" s="60" t="s">
        <v>89</v>
      </c>
      <c r="F5" s="64" t="s">
        <v>46</v>
      </c>
      <c r="G5" s="62" t="s">
        <v>51</v>
      </c>
      <c r="H5" s="63" t="s">
        <v>45</v>
      </c>
      <c r="I5" s="60" t="s">
        <v>89</v>
      </c>
      <c r="J5" s="64" t="s">
        <v>47</v>
      </c>
      <c r="K5" s="62" t="s">
        <v>51</v>
      </c>
      <c r="L5" s="63" t="s">
        <v>45</v>
      </c>
    </row>
    <row r="6" spans="1:12" ht="39.65" customHeight="1">
      <c r="A6" s="60" t="s">
        <v>89</v>
      </c>
      <c r="B6" s="61" t="s">
        <v>43</v>
      </c>
      <c r="C6" s="62" t="s">
        <v>52</v>
      </c>
      <c r="D6" s="63" t="s">
        <v>45</v>
      </c>
      <c r="E6" s="60" t="s">
        <v>89</v>
      </c>
      <c r="F6" s="64" t="s">
        <v>46</v>
      </c>
      <c r="G6" s="62" t="s">
        <v>52</v>
      </c>
      <c r="H6" s="63" t="s">
        <v>45</v>
      </c>
      <c r="I6" s="60" t="s">
        <v>89</v>
      </c>
      <c r="J6" s="64" t="s">
        <v>47</v>
      </c>
      <c r="K6" s="62" t="s">
        <v>52</v>
      </c>
      <c r="L6" s="63" t="s">
        <v>45</v>
      </c>
    </row>
    <row r="7" spans="1:12" ht="39.65" customHeight="1">
      <c r="A7" s="60" t="s">
        <v>89</v>
      </c>
      <c r="B7" s="61" t="s">
        <v>43</v>
      </c>
      <c r="C7" s="62" t="s">
        <v>53</v>
      </c>
      <c r="D7" s="63" t="s">
        <v>45</v>
      </c>
      <c r="E7" s="60" t="s">
        <v>89</v>
      </c>
      <c r="F7" s="64" t="s">
        <v>46</v>
      </c>
      <c r="G7" s="62" t="s">
        <v>53</v>
      </c>
      <c r="H7" s="63" t="s">
        <v>45</v>
      </c>
      <c r="I7" s="60" t="s">
        <v>89</v>
      </c>
      <c r="J7" s="64" t="s">
        <v>47</v>
      </c>
      <c r="K7" s="62" t="s">
        <v>53</v>
      </c>
      <c r="L7" s="63" t="s">
        <v>45</v>
      </c>
    </row>
    <row r="8" spans="1:12" ht="39.65" customHeight="1">
      <c r="A8" s="60" t="s">
        <v>89</v>
      </c>
      <c r="B8" s="61" t="s">
        <v>43</v>
      </c>
      <c r="C8" s="62" t="s">
        <v>54</v>
      </c>
      <c r="D8" s="63" t="s">
        <v>45</v>
      </c>
      <c r="E8" s="60" t="s">
        <v>89</v>
      </c>
      <c r="F8" s="64" t="s">
        <v>46</v>
      </c>
      <c r="G8" s="62" t="s">
        <v>54</v>
      </c>
      <c r="H8" s="63" t="s">
        <v>45</v>
      </c>
      <c r="I8" s="60" t="s">
        <v>89</v>
      </c>
      <c r="J8" s="64" t="s">
        <v>47</v>
      </c>
      <c r="K8" s="62" t="s">
        <v>54</v>
      </c>
      <c r="L8" s="63" t="s">
        <v>45</v>
      </c>
    </row>
    <row r="9" spans="1:12" ht="39.65" customHeight="1">
      <c r="A9" s="60" t="s">
        <v>89</v>
      </c>
      <c r="B9" s="61" t="s">
        <v>43</v>
      </c>
      <c r="C9" s="62" t="s">
        <v>55</v>
      </c>
      <c r="D9" s="63" t="s">
        <v>45</v>
      </c>
      <c r="E9" s="60" t="s">
        <v>89</v>
      </c>
      <c r="F9" s="64" t="s">
        <v>46</v>
      </c>
      <c r="G9" s="62" t="s">
        <v>55</v>
      </c>
      <c r="H9" s="63" t="s">
        <v>45</v>
      </c>
      <c r="I9" s="60" t="s">
        <v>89</v>
      </c>
      <c r="J9" s="64" t="s">
        <v>47</v>
      </c>
      <c r="K9" s="62" t="s">
        <v>55</v>
      </c>
      <c r="L9" s="63" t="s">
        <v>45</v>
      </c>
    </row>
    <row r="10" spans="1:12" ht="39.65" customHeight="1">
      <c r="A10" s="60" t="s">
        <v>89</v>
      </c>
      <c r="B10" s="61" t="s">
        <v>43</v>
      </c>
      <c r="C10" s="62" t="s">
        <v>56</v>
      </c>
      <c r="D10" s="63" t="s">
        <v>45</v>
      </c>
      <c r="E10" s="60" t="s">
        <v>89</v>
      </c>
      <c r="F10" s="64" t="s">
        <v>46</v>
      </c>
      <c r="G10" s="62" t="s">
        <v>56</v>
      </c>
      <c r="H10" s="63" t="s">
        <v>45</v>
      </c>
      <c r="I10" s="60" t="s">
        <v>89</v>
      </c>
      <c r="J10" s="64" t="s">
        <v>47</v>
      </c>
      <c r="K10" s="62" t="s">
        <v>56</v>
      </c>
      <c r="L10" s="63" t="s">
        <v>45</v>
      </c>
    </row>
    <row r="11" spans="1:12" ht="39.65" customHeight="1">
      <c r="A11" s="60" t="s">
        <v>89</v>
      </c>
      <c r="B11" s="61" t="s">
        <v>43</v>
      </c>
      <c r="C11" s="62" t="s">
        <v>57</v>
      </c>
      <c r="D11" s="63" t="s">
        <v>45</v>
      </c>
      <c r="E11" s="60" t="s">
        <v>89</v>
      </c>
      <c r="F11" s="64" t="s">
        <v>46</v>
      </c>
      <c r="G11" s="62" t="s">
        <v>57</v>
      </c>
      <c r="H11" s="63" t="s">
        <v>45</v>
      </c>
      <c r="I11" s="60" t="s">
        <v>89</v>
      </c>
      <c r="J11" s="64" t="s">
        <v>47</v>
      </c>
      <c r="K11" s="62" t="s">
        <v>57</v>
      </c>
      <c r="L11" s="63" t="s">
        <v>45</v>
      </c>
    </row>
    <row r="12" spans="1:12" ht="39.65" customHeight="1">
      <c r="A12" s="60" t="s">
        <v>89</v>
      </c>
      <c r="B12" s="61" t="s">
        <v>43</v>
      </c>
      <c r="C12" s="62" t="s">
        <v>58</v>
      </c>
      <c r="D12" s="63" t="s">
        <v>45</v>
      </c>
      <c r="E12" s="60" t="s">
        <v>89</v>
      </c>
      <c r="F12" s="64" t="s">
        <v>46</v>
      </c>
      <c r="G12" s="62" t="s">
        <v>58</v>
      </c>
      <c r="H12" s="63" t="s">
        <v>45</v>
      </c>
      <c r="I12" s="60" t="s">
        <v>89</v>
      </c>
      <c r="J12" s="64" t="s">
        <v>47</v>
      </c>
      <c r="K12" s="62" t="s">
        <v>58</v>
      </c>
      <c r="L12" s="63" t="s">
        <v>45</v>
      </c>
    </row>
    <row r="13" spans="1:12" ht="39.65" customHeight="1">
      <c r="A13" s="60" t="s">
        <v>89</v>
      </c>
      <c r="B13" s="61" t="s">
        <v>43</v>
      </c>
      <c r="C13" s="62" t="s">
        <v>59</v>
      </c>
      <c r="D13" s="63" t="s">
        <v>45</v>
      </c>
      <c r="E13" s="60" t="s">
        <v>89</v>
      </c>
      <c r="F13" s="64" t="s">
        <v>46</v>
      </c>
      <c r="G13" s="62" t="s">
        <v>59</v>
      </c>
      <c r="H13" s="63" t="s">
        <v>45</v>
      </c>
      <c r="I13" s="60" t="s">
        <v>89</v>
      </c>
      <c r="J13" s="64" t="s">
        <v>47</v>
      </c>
      <c r="K13" s="62" t="s">
        <v>59</v>
      </c>
      <c r="L13" s="63" t="s">
        <v>45</v>
      </c>
    </row>
    <row r="14" spans="1:12" ht="39.65" customHeight="1">
      <c r="A14" s="60" t="s">
        <v>89</v>
      </c>
      <c r="B14" s="61" t="s">
        <v>43</v>
      </c>
      <c r="C14" s="62" t="s">
        <v>60</v>
      </c>
      <c r="D14" s="63" t="s">
        <v>45</v>
      </c>
      <c r="E14" s="60" t="s">
        <v>89</v>
      </c>
      <c r="F14" s="64" t="s">
        <v>46</v>
      </c>
      <c r="G14" s="62" t="s">
        <v>60</v>
      </c>
      <c r="H14" s="63" t="s">
        <v>45</v>
      </c>
      <c r="I14" s="60" t="s">
        <v>89</v>
      </c>
      <c r="J14" s="64" t="s">
        <v>47</v>
      </c>
      <c r="K14" s="62" t="s">
        <v>60</v>
      </c>
      <c r="L14" s="63" t="s">
        <v>45</v>
      </c>
    </row>
    <row r="15" spans="1:12" ht="39.65" customHeight="1">
      <c r="A15" s="60" t="s">
        <v>89</v>
      </c>
      <c r="B15" s="61" t="s">
        <v>43</v>
      </c>
      <c r="C15" s="62" t="s">
        <v>61</v>
      </c>
      <c r="D15" s="63" t="s">
        <v>45</v>
      </c>
      <c r="E15" s="60" t="s">
        <v>89</v>
      </c>
      <c r="F15" s="64" t="s">
        <v>46</v>
      </c>
      <c r="G15" s="62" t="s">
        <v>61</v>
      </c>
      <c r="H15" s="63" t="s">
        <v>45</v>
      </c>
      <c r="I15" s="60" t="s">
        <v>89</v>
      </c>
      <c r="J15" s="64" t="s">
        <v>47</v>
      </c>
      <c r="K15" s="62" t="s">
        <v>61</v>
      </c>
      <c r="L15" s="63" t="s">
        <v>45</v>
      </c>
    </row>
    <row r="16" spans="1:12" ht="39.65" customHeight="1">
      <c r="A16" s="60" t="s">
        <v>89</v>
      </c>
      <c r="B16" s="61" t="s">
        <v>43</v>
      </c>
      <c r="C16" s="62" t="s">
        <v>62</v>
      </c>
      <c r="D16" s="63" t="s">
        <v>45</v>
      </c>
      <c r="E16" s="60" t="s">
        <v>89</v>
      </c>
      <c r="F16" s="64" t="s">
        <v>46</v>
      </c>
      <c r="G16" s="62" t="s">
        <v>62</v>
      </c>
      <c r="H16" s="63" t="s">
        <v>45</v>
      </c>
      <c r="I16" s="60" t="s">
        <v>89</v>
      </c>
      <c r="J16" s="64" t="s">
        <v>47</v>
      </c>
      <c r="K16" s="62" t="s">
        <v>62</v>
      </c>
      <c r="L16" s="63" t="s">
        <v>45</v>
      </c>
    </row>
    <row r="17" spans="1:12" ht="39.65" customHeight="1">
      <c r="A17" s="60" t="s">
        <v>89</v>
      </c>
      <c r="B17" s="61" t="s">
        <v>43</v>
      </c>
      <c r="C17" s="62" t="s">
        <v>63</v>
      </c>
      <c r="D17" s="63" t="s">
        <v>45</v>
      </c>
      <c r="E17" s="60" t="s">
        <v>89</v>
      </c>
      <c r="F17" s="64" t="s">
        <v>46</v>
      </c>
      <c r="G17" s="62" t="s">
        <v>63</v>
      </c>
      <c r="H17" s="63" t="s">
        <v>45</v>
      </c>
      <c r="I17" s="60" t="s">
        <v>89</v>
      </c>
      <c r="J17" s="64" t="s">
        <v>47</v>
      </c>
      <c r="K17" s="62" t="s">
        <v>63</v>
      </c>
      <c r="L17" s="63" t="s">
        <v>45</v>
      </c>
    </row>
    <row r="18" spans="1:12" ht="39.65" customHeight="1">
      <c r="A18" s="60" t="s">
        <v>89</v>
      </c>
      <c r="B18" s="61" t="s">
        <v>43</v>
      </c>
      <c r="C18" s="62" t="s">
        <v>64</v>
      </c>
      <c r="D18" s="63" t="s">
        <v>45</v>
      </c>
      <c r="E18" s="60" t="s">
        <v>89</v>
      </c>
      <c r="F18" s="64" t="s">
        <v>46</v>
      </c>
      <c r="G18" s="62" t="s">
        <v>64</v>
      </c>
      <c r="H18" s="63" t="s">
        <v>45</v>
      </c>
      <c r="I18" s="60" t="s">
        <v>89</v>
      </c>
      <c r="J18" s="64" t="s">
        <v>47</v>
      </c>
      <c r="K18" s="62" t="s">
        <v>64</v>
      </c>
      <c r="L18" s="63" t="s">
        <v>45</v>
      </c>
    </row>
    <row r="19" spans="1:12" ht="39.65" customHeight="1">
      <c r="A19" s="60" t="s">
        <v>89</v>
      </c>
      <c r="B19" s="61" t="s">
        <v>43</v>
      </c>
      <c r="C19" s="62" t="s">
        <v>65</v>
      </c>
      <c r="D19" s="63" t="s">
        <v>45</v>
      </c>
      <c r="E19" s="60" t="s">
        <v>89</v>
      </c>
      <c r="F19" s="64" t="s">
        <v>46</v>
      </c>
      <c r="G19" s="62" t="s">
        <v>65</v>
      </c>
      <c r="H19" s="63" t="s">
        <v>45</v>
      </c>
      <c r="I19" s="60" t="s">
        <v>89</v>
      </c>
      <c r="J19" s="64" t="s">
        <v>47</v>
      </c>
      <c r="K19" s="62" t="s">
        <v>65</v>
      </c>
      <c r="L19" s="63" t="s">
        <v>45</v>
      </c>
    </row>
    <row r="20" spans="1:12" ht="39.65" customHeight="1">
      <c r="A20" s="60" t="s">
        <v>89</v>
      </c>
      <c r="B20" s="61" t="s">
        <v>43</v>
      </c>
      <c r="C20" s="62" t="s">
        <v>66</v>
      </c>
      <c r="D20" s="63" t="s">
        <v>45</v>
      </c>
      <c r="E20" s="60" t="s">
        <v>89</v>
      </c>
      <c r="F20" s="64" t="s">
        <v>46</v>
      </c>
      <c r="G20" s="62" t="s">
        <v>66</v>
      </c>
      <c r="H20" s="63" t="s">
        <v>45</v>
      </c>
      <c r="I20" s="60" t="s">
        <v>89</v>
      </c>
      <c r="J20" s="64" t="s">
        <v>47</v>
      </c>
      <c r="K20" s="62" t="s">
        <v>66</v>
      </c>
      <c r="L20" s="63" t="s">
        <v>45</v>
      </c>
    </row>
    <row r="21" spans="1:12" ht="39.65" customHeight="1">
      <c r="A21" s="60" t="s">
        <v>89</v>
      </c>
      <c r="B21" s="61" t="s">
        <v>43</v>
      </c>
      <c r="C21" s="62" t="s">
        <v>67</v>
      </c>
      <c r="D21" s="63" t="s">
        <v>45</v>
      </c>
      <c r="E21" s="60" t="s">
        <v>89</v>
      </c>
      <c r="F21" s="64" t="s">
        <v>46</v>
      </c>
      <c r="G21" s="62" t="s">
        <v>67</v>
      </c>
      <c r="H21" s="63" t="s">
        <v>45</v>
      </c>
      <c r="I21" s="60" t="s">
        <v>89</v>
      </c>
      <c r="J21" s="64" t="s">
        <v>47</v>
      </c>
      <c r="K21" s="62" t="s">
        <v>67</v>
      </c>
      <c r="L21" s="63" t="s">
        <v>45</v>
      </c>
    </row>
    <row r="22" spans="1:12" ht="39.65" customHeight="1">
      <c r="A22" s="60" t="s">
        <v>89</v>
      </c>
      <c r="B22" s="61" t="s">
        <v>43</v>
      </c>
      <c r="C22" s="62" t="s">
        <v>68</v>
      </c>
      <c r="D22" s="63" t="s">
        <v>45</v>
      </c>
      <c r="E22" s="60" t="s">
        <v>89</v>
      </c>
      <c r="F22" s="64" t="s">
        <v>46</v>
      </c>
      <c r="G22" s="62" t="s">
        <v>68</v>
      </c>
      <c r="H22" s="63" t="s">
        <v>45</v>
      </c>
      <c r="I22" s="60" t="s">
        <v>89</v>
      </c>
      <c r="J22" s="64" t="s">
        <v>47</v>
      </c>
      <c r="K22" s="62" t="s">
        <v>68</v>
      </c>
      <c r="L22" s="63" t="s">
        <v>45</v>
      </c>
    </row>
    <row r="23" spans="1:12" ht="39.65" customHeight="1">
      <c r="A23" s="60" t="s">
        <v>89</v>
      </c>
      <c r="B23" s="61" t="s">
        <v>43</v>
      </c>
      <c r="C23" s="62" t="s">
        <v>69</v>
      </c>
      <c r="D23" s="63" t="s">
        <v>45</v>
      </c>
      <c r="E23" s="60" t="s">
        <v>89</v>
      </c>
      <c r="F23" s="64" t="s">
        <v>46</v>
      </c>
      <c r="G23" s="62" t="s">
        <v>69</v>
      </c>
      <c r="H23" s="63" t="s">
        <v>45</v>
      </c>
      <c r="I23" s="60" t="s">
        <v>89</v>
      </c>
      <c r="J23" s="64" t="s">
        <v>47</v>
      </c>
      <c r="K23" s="62" t="s">
        <v>69</v>
      </c>
      <c r="L23" s="63" t="s">
        <v>45</v>
      </c>
    </row>
    <row r="24" spans="1:12" ht="39.65" customHeight="1">
      <c r="A24" s="60" t="s">
        <v>89</v>
      </c>
      <c r="B24" s="61" t="s">
        <v>43</v>
      </c>
      <c r="C24" s="62" t="s">
        <v>70</v>
      </c>
      <c r="D24" s="63" t="s">
        <v>45</v>
      </c>
      <c r="E24" s="60" t="s">
        <v>89</v>
      </c>
      <c r="F24" s="64" t="s">
        <v>46</v>
      </c>
      <c r="G24" s="62" t="s">
        <v>70</v>
      </c>
      <c r="H24" s="63" t="s">
        <v>45</v>
      </c>
      <c r="I24" s="60" t="s">
        <v>89</v>
      </c>
      <c r="J24" s="64" t="s">
        <v>47</v>
      </c>
      <c r="K24" s="62" t="s">
        <v>70</v>
      </c>
      <c r="L24" s="63" t="s">
        <v>45</v>
      </c>
    </row>
    <row r="25" spans="1:12" ht="39.65" customHeight="1">
      <c r="A25" s="60" t="s">
        <v>89</v>
      </c>
      <c r="B25" s="61" t="s">
        <v>43</v>
      </c>
      <c r="C25" s="62" t="s">
        <v>71</v>
      </c>
      <c r="D25" s="63" t="s">
        <v>45</v>
      </c>
      <c r="E25" s="60" t="s">
        <v>89</v>
      </c>
      <c r="F25" s="64" t="s">
        <v>46</v>
      </c>
      <c r="G25" s="62" t="s">
        <v>71</v>
      </c>
      <c r="H25" s="63" t="s">
        <v>45</v>
      </c>
      <c r="I25" s="60" t="s">
        <v>89</v>
      </c>
      <c r="J25" s="64" t="s">
        <v>47</v>
      </c>
      <c r="K25" s="62" t="s">
        <v>71</v>
      </c>
      <c r="L25" s="63" t="s">
        <v>45</v>
      </c>
    </row>
    <row r="26" spans="1:12" ht="39.65" customHeight="1">
      <c r="A26" s="60" t="s">
        <v>89</v>
      </c>
      <c r="B26" s="61" t="s">
        <v>43</v>
      </c>
      <c r="C26" s="62" t="s">
        <v>72</v>
      </c>
      <c r="D26" s="63" t="s">
        <v>45</v>
      </c>
      <c r="E26" s="60" t="s">
        <v>89</v>
      </c>
      <c r="F26" s="64" t="s">
        <v>46</v>
      </c>
      <c r="G26" s="62" t="s">
        <v>72</v>
      </c>
      <c r="H26" s="63" t="s">
        <v>45</v>
      </c>
      <c r="I26" s="60" t="s">
        <v>89</v>
      </c>
      <c r="J26" s="64" t="s">
        <v>47</v>
      </c>
      <c r="K26" s="62" t="s">
        <v>72</v>
      </c>
      <c r="L26" s="63" t="s">
        <v>45</v>
      </c>
    </row>
    <row r="27" spans="1:12" ht="39.65" customHeight="1">
      <c r="A27" s="60" t="s">
        <v>89</v>
      </c>
      <c r="B27" s="61" t="s">
        <v>43</v>
      </c>
      <c r="C27" s="62" t="s">
        <v>73</v>
      </c>
      <c r="D27" s="63" t="s">
        <v>45</v>
      </c>
      <c r="E27" s="60" t="s">
        <v>89</v>
      </c>
      <c r="F27" s="64" t="s">
        <v>46</v>
      </c>
      <c r="G27" s="62" t="s">
        <v>73</v>
      </c>
      <c r="H27" s="63" t="s">
        <v>45</v>
      </c>
      <c r="I27" s="60" t="s">
        <v>89</v>
      </c>
      <c r="J27" s="64" t="s">
        <v>47</v>
      </c>
      <c r="K27" s="62" t="s">
        <v>73</v>
      </c>
      <c r="L27" s="63" t="s">
        <v>45</v>
      </c>
    </row>
    <row r="28" spans="1:12" ht="39.65" customHeight="1">
      <c r="A28" s="60" t="s">
        <v>89</v>
      </c>
      <c r="B28" s="61" t="s">
        <v>43</v>
      </c>
      <c r="C28" s="62" t="s">
        <v>74</v>
      </c>
      <c r="D28" s="63" t="s">
        <v>45</v>
      </c>
      <c r="E28" s="60" t="s">
        <v>89</v>
      </c>
      <c r="F28" s="64" t="s">
        <v>46</v>
      </c>
      <c r="G28" s="62" t="s">
        <v>74</v>
      </c>
      <c r="H28" s="63" t="s">
        <v>45</v>
      </c>
      <c r="I28" s="60" t="s">
        <v>89</v>
      </c>
      <c r="J28" s="64" t="s">
        <v>47</v>
      </c>
      <c r="K28" s="62" t="s">
        <v>74</v>
      </c>
      <c r="L28" s="63" t="s">
        <v>45</v>
      </c>
    </row>
    <row r="29" spans="1:12" ht="39.65" customHeight="1">
      <c r="A29" s="60" t="s">
        <v>89</v>
      </c>
      <c r="B29" s="61" t="s">
        <v>43</v>
      </c>
      <c r="C29" s="62" t="s">
        <v>75</v>
      </c>
      <c r="D29" s="63" t="s">
        <v>45</v>
      </c>
      <c r="E29" s="60" t="s">
        <v>89</v>
      </c>
      <c r="F29" s="64" t="s">
        <v>46</v>
      </c>
      <c r="G29" s="62" t="s">
        <v>75</v>
      </c>
      <c r="H29" s="63" t="s">
        <v>45</v>
      </c>
      <c r="I29" s="60" t="s">
        <v>89</v>
      </c>
      <c r="J29" s="64" t="s">
        <v>47</v>
      </c>
      <c r="K29" s="62" t="s">
        <v>75</v>
      </c>
      <c r="L29" s="63" t="s">
        <v>45</v>
      </c>
    </row>
    <row r="30" spans="1:12" ht="39.65" customHeight="1">
      <c r="A30" s="60" t="s">
        <v>89</v>
      </c>
      <c r="B30" s="61" t="s">
        <v>43</v>
      </c>
      <c r="C30" s="62" t="s">
        <v>76</v>
      </c>
      <c r="D30" s="63" t="s">
        <v>45</v>
      </c>
      <c r="E30" s="60" t="s">
        <v>89</v>
      </c>
      <c r="F30" s="64" t="s">
        <v>46</v>
      </c>
      <c r="G30" s="62" t="s">
        <v>76</v>
      </c>
      <c r="H30" s="63" t="s">
        <v>45</v>
      </c>
      <c r="I30" s="60" t="s">
        <v>89</v>
      </c>
      <c r="J30" s="64" t="s">
        <v>47</v>
      </c>
      <c r="K30" s="62" t="s">
        <v>76</v>
      </c>
      <c r="L30" s="63" t="s">
        <v>45</v>
      </c>
    </row>
    <row r="31" spans="1:12" ht="39.65" customHeight="1">
      <c r="A31" s="60" t="s">
        <v>89</v>
      </c>
      <c r="B31" s="61" t="s">
        <v>43</v>
      </c>
      <c r="C31" s="62" t="s">
        <v>77</v>
      </c>
      <c r="D31" s="63" t="s">
        <v>45</v>
      </c>
      <c r="E31" s="60" t="s">
        <v>89</v>
      </c>
      <c r="F31" s="64" t="s">
        <v>46</v>
      </c>
      <c r="G31" s="62" t="s">
        <v>77</v>
      </c>
      <c r="H31" s="63" t="s">
        <v>45</v>
      </c>
      <c r="I31" s="60" t="s">
        <v>89</v>
      </c>
      <c r="J31" s="64" t="s">
        <v>47</v>
      </c>
      <c r="K31" s="62" t="s">
        <v>77</v>
      </c>
      <c r="L31" s="63" t="s">
        <v>45</v>
      </c>
    </row>
    <row r="32" spans="1:12" ht="39.65" customHeight="1">
      <c r="A32" s="60" t="s">
        <v>89</v>
      </c>
      <c r="B32" s="61" t="s">
        <v>43</v>
      </c>
      <c r="C32" s="62" t="s">
        <v>78</v>
      </c>
      <c r="D32" s="63" t="s">
        <v>45</v>
      </c>
      <c r="E32" s="60" t="s">
        <v>89</v>
      </c>
      <c r="F32" s="64" t="s">
        <v>46</v>
      </c>
      <c r="G32" s="62" t="s">
        <v>78</v>
      </c>
      <c r="H32" s="63" t="s">
        <v>45</v>
      </c>
      <c r="I32" s="60" t="s">
        <v>89</v>
      </c>
      <c r="J32" s="64" t="s">
        <v>47</v>
      </c>
      <c r="K32" s="62" t="s">
        <v>78</v>
      </c>
      <c r="L32" s="63" t="s">
        <v>45</v>
      </c>
    </row>
    <row r="33" spans="1:12" ht="39.65" customHeight="1">
      <c r="A33" s="60" t="s">
        <v>89</v>
      </c>
      <c r="B33" s="61" t="s">
        <v>43</v>
      </c>
      <c r="C33" s="62" t="s">
        <v>79</v>
      </c>
      <c r="D33" s="63" t="s">
        <v>45</v>
      </c>
      <c r="E33" s="60" t="s">
        <v>89</v>
      </c>
      <c r="F33" s="64" t="s">
        <v>46</v>
      </c>
      <c r="G33" s="62" t="s">
        <v>79</v>
      </c>
      <c r="H33" s="63" t="s">
        <v>45</v>
      </c>
      <c r="I33" s="60" t="s">
        <v>89</v>
      </c>
      <c r="J33" s="64" t="s">
        <v>47</v>
      </c>
      <c r="K33" s="62" t="s">
        <v>79</v>
      </c>
      <c r="L33" s="63" t="s">
        <v>45</v>
      </c>
    </row>
    <row r="34" spans="1:12" ht="39.65" customHeight="1">
      <c r="A34" s="60" t="s">
        <v>89</v>
      </c>
      <c r="B34" s="61" t="s">
        <v>43</v>
      </c>
      <c r="C34" s="62" t="s">
        <v>80</v>
      </c>
      <c r="D34" s="63" t="s">
        <v>45</v>
      </c>
      <c r="E34" s="60" t="s">
        <v>89</v>
      </c>
      <c r="F34" s="64" t="s">
        <v>46</v>
      </c>
      <c r="G34" s="62" t="s">
        <v>80</v>
      </c>
      <c r="H34" s="63" t="s">
        <v>45</v>
      </c>
      <c r="I34" s="60" t="s">
        <v>89</v>
      </c>
      <c r="J34" s="64" t="s">
        <v>47</v>
      </c>
      <c r="K34" s="62" t="s">
        <v>80</v>
      </c>
      <c r="L34" s="63" t="s">
        <v>45</v>
      </c>
    </row>
    <row r="35" spans="1:12" ht="39.65" customHeight="1">
      <c r="A35" s="60" t="s">
        <v>89</v>
      </c>
      <c r="B35" s="61" t="s">
        <v>43</v>
      </c>
      <c r="C35" s="62" t="s">
        <v>81</v>
      </c>
      <c r="D35" s="63" t="s">
        <v>45</v>
      </c>
      <c r="E35" s="60" t="s">
        <v>89</v>
      </c>
      <c r="F35" s="64" t="s">
        <v>46</v>
      </c>
      <c r="G35" s="62" t="s">
        <v>81</v>
      </c>
      <c r="H35" s="63" t="s">
        <v>45</v>
      </c>
      <c r="I35" s="60" t="s">
        <v>89</v>
      </c>
      <c r="J35" s="64" t="s">
        <v>47</v>
      </c>
      <c r="K35" s="62" t="s">
        <v>81</v>
      </c>
      <c r="L35" s="63" t="s">
        <v>45</v>
      </c>
    </row>
    <row r="36" spans="1:12" ht="39.65" customHeight="1">
      <c r="A36" s="60" t="s">
        <v>89</v>
      </c>
      <c r="B36" s="61" t="s">
        <v>43</v>
      </c>
      <c r="C36" s="62" t="s">
        <v>82</v>
      </c>
      <c r="D36" s="63" t="s">
        <v>45</v>
      </c>
      <c r="E36" s="60" t="s">
        <v>89</v>
      </c>
      <c r="F36" s="64" t="s">
        <v>46</v>
      </c>
      <c r="G36" s="62" t="s">
        <v>82</v>
      </c>
      <c r="H36" s="63" t="s">
        <v>45</v>
      </c>
      <c r="I36" s="60" t="s">
        <v>89</v>
      </c>
      <c r="J36" s="64" t="s">
        <v>47</v>
      </c>
      <c r="K36" s="62" t="s">
        <v>82</v>
      </c>
      <c r="L36" s="63" t="s">
        <v>45</v>
      </c>
    </row>
    <row r="37" spans="1:12" ht="39.65" customHeight="1">
      <c r="A37" s="60" t="s">
        <v>89</v>
      </c>
      <c r="B37" s="61" t="s">
        <v>43</v>
      </c>
      <c r="C37" s="62" t="s">
        <v>83</v>
      </c>
      <c r="D37" s="63" t="s">
        <v>45</v>
      </c>
      <c r="E37" s="60" t="s">
        <v>89</v>
      </c>
      <c r="F37" s="64" t="s">
        <v>46</v>
      </c>
      <c r="G37" s="62" t="s">
        <v>83</v>
      </c>
      <c r="H37" s="63" t="s">
        <v>45</v>
      </c>
      <c r="I37" s="60" t="s">
        <v>89</v>
      </c>
      <c r="J37" s="64" t="s">
        <v>47</v>
      </c>
      <c r="K37" s="62" t="s">
        <v>83</v>
      </c>
      <c r="L37" s="63" t="s">
        <v>45</v>
      </c>
    </row>
    <row r="38" spans="1:12" ht="39.65" customHeight="1">
      <c r="A38" s="60" t="s">
        <v>89</v>
      </c>
      <c r="B38" s="61" t="s">
        <v>43</v>
      </c>
      <c r="C38" s="62" t="s">
        <v>84</v>
      </c>
      <c r="D38" s="63" t="s">
        <v>45</v>
      </c>
      <c r="E38" s="60" t="s">
        <v>89</v>
      </c>
      <c r="F38" s="64" t="s">
        <v>46</v>
      </c>
      <c r="G38" s="62" t="s">
        <v>84</v>
      </c>
      <c r="H38" s="63" t="s">
        <v>45</v>
      </c>
      <c r="I38" s="60" t="s">
        <v>89</v>
      </c>
      <c r="J38" s="64" t="s">
        <v>47</v>
      </c>
      <c r="K38" s="62" t="s">
        <v>84</v>
      </c>
      <c r="L38" s="63" t="s">
        <v>45</v>
      </c>
    </row>
    <row r="39" spans="1:12" ht="39.65" customHeight="1">
      <c r="A39" s="60" t="s">
        <v>89</v>
      </c>
      <c r="B39" s="61" t="s">
        <v>43</v>
      </c>
      <c r="C39" s="62" t="s">
        <v>85</v>
      </c>
      <c r="D39" s="63" t="s">
        <v>45</v>
      </c>
      <c r="E39" s="60" t="s">
        <v>89</v>
      </c>
      <c r="F39" s="64" t="s">
        <v>46</v>
      </c>
      <c r="G39" s="62" t="s">
        <v>85</v>
      </c>
      <c r="H39" s="63" t="s">
        <v>45</v>
      </c>
      <c r="I39" s="60" t="s">
        <v>89</v>
      </c>
      <c r="J39" s="64" t="s">
        <v>47</v>
      </c>
      <c r="K39" s="62" t="s">
        <v>85</v>
      </c>
      <c r="L39" s="63" t="s">
        <v>45</v>
      </c>
    </row>
    <row r="40" spans="1:12" ht="39.65" customHeight="1">
      <c r="A40" s="60" t="s">
        <v>89</v>
      </c>
      <c r="B40" s="61" t="s">
        <v>43</v>
      </c>
      <c r="C40" s="62" t="s">
        <v>86</v>
      </c>
      <c r="D40" s="63" t="s">
        <v>45</v>
      </c>
      <c r="E40" s="60" t="s">
        <v>89</v>
      </c>
      <c r="F40" s="64" t="s">
        <v>46</v>
      </c>
      <c r="G40" s="62" t="s">
        <v>86</v>
      </c>
      <c r="H40" s="63" t="s">
        <v>45</v>
      </c>
      <c r="I40" s="60" t="s">
        <v>89</v>
      </c>
      <c r="J40" s="64" t="s">
        <v>47</v>
      </c>
      <c r="K40" s="62" t="s">
        <v>86</v>
      </c>
      <c r="L40" s="63" t="s">
        <v>45</v>
      </c>
    </row>
    <row r="41" spans="1:12" ht="39.65" customHeight="1">
      <c r="A41" s="60" t="s">
        <v>89</v>
      </c>
      <c r="B41" s="61" t="s">
        <v>43</v>
      </c>
      <c r="C41" s="62" t="s">
        <v>87</v>
      </c>
      <c r="D41" s="63" t="s">
        <v>45</v>
      </c>
      <c r="E41" s="60" t="s">
        <v>89</v>
      </c>
      <c r="F41" s="64" t="s">
        <v>46</v>
      </c>
      <c r="G41" s="62" t="s">
        <v>87</v>
      </c>
      <c r="H41" s="63" t="s">
        <v>45</v>
      </c>
      <c r="I41" s="60" t="s">
        <v>89</v>
      </c>
      <c r="J41" s="64" t="s">
        <v>47</v>
      </c>
      <c r="K41" s="62" t="s">
        <v>87</v>
      </c>
      <c r="L41" s="63" t="s">
        <v>45</v>
      </c>
    </row>
    <row r="42" spans="1:12" ht="39.65" customHeight="1">
      <c r="A42" s="60" t="s">
        <v>89</v>
      </c>
      <c r="B42" s="61" t="s">
        <v>43</v>
      </c>
      <c r="C42" s="62" t="s">
        <v>88</v>
      </c>
      <c r="D42" s="63" t="s">
        <v>45</v>
      </c>
      <c r="E42" s="60" t="s">
        <v>89</v>
      </c>
      <c r="F42" s="64" t="s">
        <v>46</v>
      </c>
      <c r="G42" s="62" t="s">
        <v>88</v>
      </c>
      <c r="H42" s="63" t="s">
        <v>45</v>
      </c>
      <c r="I42" s="60" t="s">
        <v>89</v>
      </c>
      <c r="J42" s="64" t="s">
        <v>47</v>
      </c>
      <c r="K42" s="62" t="s">
        <v>88</v>
      </c>
      <c r="L42" s="63" t="s">
        <v>45</v>
      </c>
    </row>
  </sheetData>
  <phoneticPr fontId="17" type="noConversion"/>
  <pageMargins left="0.7" right="0.7" top="0.75" bottom="0.75" header="0.3" footer="0.3"/>
  <pageSetup paperSize="9" scale="96" orientation="portrait" r:id="rId1"/>
  <colBreaks count="1" manualBreakCount="1">
    <brk id="8"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6677-D3A5-48F3-B50A-DAC9879BFAE1}">
  <dimension ref="A1:Y90"/>
  <sheetViews>
    <sheetView topLeftCell="A48" zoomScale="110" zoomScaleNormal="110" workbookViewId="0">
      <selection activeCell="N24" sqref="N24"/>
    </sheetView>
  </sheetViews>
  <sheetFormatPr defaultRowHeight="14.5"/>
  <cols>
    <col min="1" max="1" width="16" customWidth="1"/>
    <col min="10" max="10" width="11.54296875" bestFit="1" customWidth="1"/>
    <col min="24" max="24" width="9" bestFit="1" customWidth="1"/>
  </cols>
  <sheetData>
    <row r="1" spans="1:16" ht="15.5">
      <c r="A1" s="270" t="s">
        <v>2492</v>
      </c>
    </row>
    <row r="2" spans="1:16">
      <c r="G2" s="383" t="s">
        <v>2665</v>
      </c>
      <c r="H2" s="383" t="s">
        <v>2665</v>
      </c>
      <c r="I2" s="383" t="s">
        <v>2189</v>
      </c>
      <c r="J2" s="384"/>
    </row>
    <row r="3" spans="1:16">
      <c r="A3" s="377" t="s">
        <v>18</v>
      </c>
      <c r="B3" s="378" t="s">
        <v>2020</v>
      </c>
      <c r="C3" s="378" t="s">
        <v>210</v>
      </c>
      <c r="D3" s="378" t="s">
        <v>214</v>
      </c>
      <c r="E3" s="379" t="s">
        <v>215</v>
      </c>
      <c r="F3" s="378" t="s">
        <v>216</v>
      </c>
      <c r="G3" s="205" t="s">
        <v>2666</v>
      </c>
      <c r="H3" s="205" t="s">
        <v>109</v>
      </c>
      <c r="I3" s="205" t="s">
        <v>192</v>
      </c>
      <c r="J3" s="385" t="s">
        <v>2677</v>
      </c>
      <c r="K3" s="443" t="s">
        <v>2667</v>
      </c>
    </row>
    <row r="4" spans="1:16">
      <c r="A4" s="380" t="s">
        <v>2493</v>
      </c>
      <c r="B4" s="381" t="s">
        <v>2494</v>
      </c>
      <c r="C4" s="381" t="s">
        <v>2495</v>
      </c>
      <c r="D4" s="381">
        <v>0</v>
      </c>
      <c r="E4" s="382">
        <v>0</v>
      </c>
      <c r="F4" s="381">
        <v>0</v>
      </c>
      <c r="G4" s="386">
        <v>2021</v>
      </c>
      <c r="H4" s="387" t="s">
        <v>2668</v>
      </c>
    </row>
    <row r="5" spans="1:16">
      <c r="A5" s="380" t="s">
        <v>2496</v>
      </c>
      <c r="B5" s="381" t="s">
        <v>2494</v>
      </c>
      <c r="C5" s="381" t="s">
        <v>2497</v>
      </c>
      <c r="D5" s="381">
        <v>20.56840705871582</v>
      </c>
      <c r="E5" s="454">
        <v>2.0441675186157227</v>
      </c>
      <c r="F5" s="381">
        <v>2.1642990112304688</v>
      </c>
      <c r="G5" s="388">
        <v>2021</v>
      </c>
      <c r="H5" s="388" t="s">
        <v>43</v>
      </c>
      <c r="I5" s="388">
        <v>1</v>
      </c>
      <c r="J5" s="389">
        <v>2583.9</v>
      </c>
      <c r="K5" s="100">
        <f>D5/F5</f>
        <v>9.5034960289623136</v>
      </c>
    </row>
    <row r="6" spans="1:16">
      <c r="A6" s="380" t="s">
        <v>2498</v>
      </c>
      <c r="B6" s="381" t="s">
        <v>2494</v>
      </c>
      <c r="C6" s="381" t="s">
        <v>2499</v>
      </c>
      <c r="D6" s="381">
        <v>14.890074729919434</v>
      </c>
      <c r="E6" s="382">
        <v>1.0209591388702393</v>
      </c>
      <c r="F6" s="381">
        <v>0.95788174867630005</v>
      </c>
      <c r="G6" s="388">
        <v>2021</v>
      </c>
      <c r="H6" s="388" t="s">
        <v>43</v>
      </c>
      <c r="I6" s="390">
        <v>2</v>
      </c>
      <c r="J6" s="390">
        <v>2773.6</v>
      </c>
      <c r="K6" s="100">
        <f t="shared" ref="K6:K69" si="0">D6/F6</f>
        <v>15.544794282275529</v>
      </c>
    </row>
    <row r="7" spans="1:16">
      <c r="A7" s="393" t="s">
        <v>2500</v>
      </c>
      <c r="B7" s="394" t="s">
        <v>2494</v>
      </c>
      <c r="C7" s="394" t="s">
        <v>2501</v>
      </c>
      <c r="D7" s="394">
        <v>14.78520393371582</v>
      </c>
      <c r="E7" s="395">
        <v>1.06744384765625</v>
      </c>
      <c r="F7" s="394">
        <v>1.0527235269546509</v>
      </c>
      <c r="G7" s="396">
        <v>2021</v>
      </c>
      <c r="H7" s="396" t="s">
        <v>43</v>
      </c>
      <c r="I7" s="397" t="s">
        <v>2245</v>
      </c>
      <c r="J7" s="397">
        <v>3068.2</v>
      </c>
      <c r="K7" s="100">
        <f t="shared" si="0"/>
        <v>14.044716922482854</v>
      </c>
      <c r="L7" s="444" t="str">
        <f>H7</f>
        <v>47_1000</v>
      </c>
      <c r="M7" s="445" t="str">
        <f>I7</f>
        <v>3_a</v>
      </c>
      <c r="N7" s="48" t="s">
        <v>2678</v>
      </c>
      <c r="O7" s="48"/>
      <c r="P7" s="48"/>
    </row>
    <row r="8" spans="1:16">
      <c r="A8" s="380" t="s">
        <v>2502</v>
      </c>
      <c r="B8" s="381" t="s">
        <v>2494</v>
      </c>
      <c r="C8" s="381" t="s">
        <v>2503</v>
      </c>
      <c r="D8" s="381">
        <v>14.667099952697754</v>
      </c>
      <c r="E8" s="382">
        <v>1.012427806854248</v>
      </c>
      <c r="F8" s="381">
        <v>0.99053823947906494</v>
      </c>
      <c r="G8" s="388">
        <v>2021</v>
      </c>
      <c r="H8" s="388" t="s">
        <v>43</v>
      </c>
      <c r="I8" s="390">
        <v>4</v>
      </c>
      <c r="J8" s="390">
        <v>2600.6999999999998</v>
      </c>
      <c r="K8" s="100">
        <f t="shared" si="0"/>
        <v>14.807202153458855</v>
      </c>
      <c r="L8" s="363"/>
      <c r="M8" s="363"/>
      <c r="N8" s="48" t="s">
        <v>2679</v>
      </c>
      <c r="O8" s="48" t="s">
        <v>2680</v>
      </c>
      <c r="P8" s="48"/>
    </row>
    <row r="9" spans="1:16">
      <c r="A9" s="380" t="s">
        <v>2504</v>
      </c>
      <c r="B9" s="381" t="s">
        <v>2494</v>
      </c>
      <c r="C9" s="381" t="s">
        <v>2505</v>
      </c>
      <c r="D9" s="381">
        <v>14.313394546508789</v>
      </c>
      <c r="E9" s="382">
        <v>0.92011606693267822</v>
      </c>
      <c r="F9" s="381">
        <v>0.95826214551925659</v>
      </c>
      <c r="G9" s="388">
        <v>2021</v>
      </c>
      <c r="H9" s="388" t="s">
        <v>43</v>
      </c>
      <c r="I9" s="390">
        <v>5</v>
      </c>
      <c r="J9" s="390">
        <v>2583.3000000000002</v>
      </c>
      <c r="K9" s="100">
        <f t="shared" si="0"/>
        <v>14.936825599797375</v>
      </c>
      <c r="L9" s="363"/>
      <c r="M9" s="363" t="s">
        <v>262</v>
      </c>
      <c r="N9" s="446">
        <f>((F7-F17)/AVERAGE(F7,F17))*100</f>
        <v>1.8489960818819082</v>
      </c>
      <c r="O9" s="446">
        <f>((D7-D17)/AVERAGE(D7,D17))*100</f>
        <v>1.0823568581774252</v>
      </c>
      <c r="P9" s="363"/>
    </row>
    <row r="10" spans="1:16">
      <c r="A10" s="380" t="s">
        <v>2506</v>
      </c>
      <c r="B10" s="381" t="s">
        <v>2494</v>
      </c>
      <c r="C10" s="381" t="s">
        <v>2507</v>
      </c>
      <c r="D10" s="381">
        <v>15.565558433532715</v>
      </c>
      <c r="E10" s="382">
        <v>1.1709853410720825</v>
      </c>
      <c r="F10" s="381">
        <v>1.298827052116394</v>
      </c>
      <c r="G10" s="388">
        <v>2021</v>
      </c>
      <c r="H10" s="388" t="s">
        <v>43</v>
      </c>
      <c r="I10" s="390">
        <v>6</v>
      </c>
      <c r="J10" s="390">
        <v>3013.7</v>
      </c>
      <c r="K10" s="100">
        <f t="shared" si="0"/>
        <v>11.984319550604656</v>
      </c>
    </row>
    <row r="11" spans="1:16">
      <c r="A11" s="380" t="s">
        <v>2508</v>
      </c>
      <c r="B11" s="381" t="s">
        <v>2494</v>
      </c>
      <c r="C11" s="381" t="s">
        <v>2509</v>
      </c>
      <c r="D11" s="381">
        <v>15.803086280822754</v>
      </c>
      <c r="E11" s="382">
        <v>1.1711995601654053</v>
      </c>
      <c r="F11" s="381">
        <v>1.2252254486083984</v>
      </c>
      <c r="G11" s="388">
        <v>2021</v>
      </c>
      <c r="H11" s="388" t="s">
        <v>43</v>
      </c>
      <c r="I11" s="390">
        <v>7</v>
      </c>
      <c r="J11" s="390">
        <v>2732.7</v>
      </c>
      <c r="K11" s="100">
        <f t="shared" si="0"/>
        <v>12.898104833499644</v>
      </c>
    </row>
    <row r="12" spans="1:16">
      <c r="A12" s="380" t="s">
        <v>2510</v>
      </c>
      <c r="B12" s="381" t="s">
        <v>2494</v>
      </c>
      <c r="C12" s="381" t="s">
        <v>2511</v>
      </c>
      <c r="D12" s="381">
        <v>15.173642158508301</v>
      </c>
      <c r="E12" s="382">
        <v>1.1175539493560791</v>
      </c>
      <c r="F12" s="381">
        <v>1.0614129304885864</v>
      </c>
      <c r="G12" s="388">
        <v>2021</v>
      </c>
      <c r="H12" s="388" t="s">
        <v>43</v>
      </c>
      <c r="I12" s="390">
        <v>8</v>
      </c>
      <c r="J12" s="390">
        <v>2667.4</v>
      </c>
      <c r="K12" s="100">
        <f t="shared" si="0"/>
        <v>14.295701251277968</v>
      </c>
    </row>
    <row r="13" spans="1:16">
      <c r="A13" s="380" t="s">
        <v>2512</v>
      </c>
      <c r="B13" s="381" t="s">
        <v>2494</v>
      </c>
      <c r="C13" s="381" t="s">
        <v>2513</v>
      </c>
      <c r="D13" s="381">
        <v>14.787942886352539</v>
      </c>
      <c r="E13" s="382">
        <v>1.0226260423660278</v>
      </c>
      <c r="F13" s="381">
        <v>1.0802805423736572</v>
      </c>
      <c r="G13" s="388">
        <v>2021</v>
      </c>
      <c r="H13" s="388" t="s">
        <v>43</v>
      </c>
      <c r="I13" s="390">
        <v>9</v>
      </c>
      <c r="J13" s="390">
        <v>3390</v>
      </c>
      <c r="K13" s="100">
        <f t="shared" si="0"/>
        <v>13.688983839197533</v>
      </c>
    </row>
    <row r="14" spans="1:16">
      <c r="A14" s="380" t="s">
        <v>2514</v>
      </c>
      <c r="B14" s="381" t="s">
        <v>2494</v>
      </c>
      <c r="C14" s="381" t="s">
        <v>2515</v>
      </c>
      <c r="D14" s="381">
        <v>15.11461353302002</v>
      </c>
      <c r="E14" s="382">
        <v>1.067451000213623</v>
      </c>
      <c r="F14" s="381">
        <v>1.1763032674789429</v>
      </c>
      <c r="G14" s="388">
        <v>2021</v>
      </c>
      <c r="H14" s="388" t="s">
        <v>43</v>
      </c>
      <c r="I14" s="390">
        <v>10</v>
      </c>
      <c r="J14" s="390">
        <v>2950.9</v>
      </c>
      <c r="K14" s="100">
        <f t="shared" si="0"/>
        <v>12.849248957212973</v>
      </c>
    </row>
    <row r="15" spans="1:16" ht="15" thickBot="1">
      <c r="A15" s="380" t="s">
        <v>2516</v>
      </c>
      <c r="B15" s="381" t="s">
        <v>2494</v>
      </c>
      <c r="C15" s="381" t="s">
        <v>2517</v>
      </c>
      <c r="D15" s="381">
        <v>14.714103698730469</v>
      </c>
      <c r="E15" s="382">
        <v>0.95217853784561157</v>
      </c>
      <c r="F15" s="381">
        <v>0.9054645299911499</v>
      </c>
      <c r="G15" s="388">
        <v>2021</v>
      </c>
      <c r="H15" s="391" t="s">
        <v>43</v>
      </c>
      <c r="I15" s="392">
        <v>11</v>
      </c>
      <c r="J15" s="392">
        <v>2695.9</v>
      </c>
      <c r="K15" s="100">
        <f t="shared" si="0"/>
        <v>16.250336939067381</v>
      </c>
    </row>
    <row r="16" spans="1:16" ht="15" thickTop="1">
      <c r="A16" s="380" t="s">
        <v>2518</v>
      </c>
      <c r="B16" s="381" t="s">
        <v>2494</v>
      </c>
      <c r="C16" s="381" t="s">
        <v>2519</v>
      </c>
      <c r="D16" s="381"/>
      <c r="E16" s="382"/>
      <c r="F16" s="381"/>
      <c r="K16" s="100"/>
    </row>
    <row r="17" spans="1:15">
      <c r="A17" s="393" t="s">
        <v>2520</v>
      </c>
      <c r="B17" s="394" t="s">
        <v>2494</v>
      </c>
      <c r="C17" s="394" t="s">
        <v>2521</v>
      </c>
      <c r="D17" s="394">
        <v>14.626036643981934</v>
      </c>
      <c r="E17" s="395">
        <v>1.0424351692199707</v>
      </c>
      <c r="F17" s="394">
        <v>1.0334370136260986</v>
      </c>
      <c r="G17" s="396">
        <v>2021</v>
      </c>
      <c r="H17" s="398" t="s">
        <v>43</v>
      </c>
      <c r="I17" s="399" t="s">
        <v>2246</v>
      </c>
      <c r="J17" s="399">
        <v>2782.8</v>
      </c>
      <c r="K17" s="100">
        <f t="shared" si="0"/>
        <v>14.152808977358429</v>
      </c>
    </row>
    <row r="18" spans="1:15">
      <c r="A18" s="380" t="s">
        <v>2522</v>
      </c>
      <c r="B18" s="381" t="s">
        <v>2494</v>
      </c>
      <c r="C18" s="381" t="s">
        <v>2523</v>
      </c>
      <c r="D18" s="381">
        <v>14.692148208618164</v>
      </c>
      <c r="E18" s="382">
        <v>0.99670934677124023</v>
      </c>
      <c r="F18" s="381">
        <v>0.9205707311630249</v>
      </c>
      <c r="G18" s="388">
        <v>2021</v>
      </c>
      <c r="H18" s="388" t="s">
        <v>43</v>
      </c>
      <c r="I18" s="390">
        <v>12</v>
      </c>
      <c r="J18" s="205">
        <v>2971.6</v>
      </c>
      <c r="K18" s="100">
        <f t="shared" si="0"/>
        <v>15.9598254770239</v>
      </c>
    </row>
    <row r="19" spans="1:15">
      <c r="A19" s="380" t="s">
        <v>2524</v>
      </c>
      <c r="B19" s="381" t="s">
        <v>2494</v>
      </c>
      <c r="C19" s="381" t="s">
        <v>2525</v>
      </c>
      <c r="D19" s="381">
        <v>13.898073196411133</v>
      </c>
      <c r="E19" s="382">
        <v>0.87429237365722656</v>
      </c>
      <c r="F19" s="381">
        <v>0.75366872549057007</v>
      </c>
      <c r="G19" s="388">
        <v>2021</v>
      </c>
      <c r="H19" s="388" t="s">
        <v>43</v>
      </c>
      <c r="I19" s="390">
        <v>13</v>
      </c>
      <c r="J19" s="390">
        <v>3112.2</v>
      </c>
      <c r="K19" s="100">
        <f t="shared" si="0"/>
        <v>18.440559792851623</v>
      </c>
    </row>
    <row r="20" spans="1:15">
      <c r="A20" s="380" t="s">
        <v>2526</v>
      </c>
      <c r="B20" s="381" t="s">
        <v>2494</v>
      </c>
      <c r="C20" s="381" t="s">
        <v>2527</v>
      </c>
      <c r="D20" s="381">
        <v>12.57647705078125</v>
      </c>
      <c r="E20" s="382">
        <v>0.82349890470504761</v>
      </c>
      <c r="F20" s="381">
        <v>0.63573765754699707</v>
      </c>
      <c r="G20" s="388">
        <v>2021</v>
      </c>
      <c r="H20" s="388" t="s">
        <v>43</v>
      </c>
      <c r="I20" s="390">
        <v>14</v>
      </c>
      <c r="J20" s="390">
        <v>3040.8</v>
      </c>
      <c r="K20" s="100">
        <f t="shared" si="0"/>
        <v>19.782495029959005</v>
      </c>
    </row>
    <row r="21" spans="1:15">
      <c r="A21" s="380" t="s">
        <v>2528</v>
      </c>
      <c r="B21" s="381" t="s">
        <v>2494</v>
      </c>
      <c r="C21" s="381" t="s">
        <v>2529</v>
      </c>
      <c r="D21" s="381">
        <v>12.243984222412109</v>
      </c>
      <c r="E21" s="382">
        <v>1.0269023180007935</v>
      </c>
      <c r="F21" s="381">
        <v>0.80138421058654785</v>
      </c>
      <c r="G21" s="388">
        <v>2021</v>
      </c>
      <c r="H21" s="388" t="s">
        <v>43</v>
      </c>
      <c r="I21" s="390">
        <v>15</v>
      </c>
      <c r="J21" s="390">
        <v>2921.8</v>
      </c>
      <c r="K21" s="100">
        <f t="shared" si="0"/>
        <v>15.278544374427483</v>
      </c>
    </row>
    <row r="22" spans="1:15">
      <c r="A22" s="400" t="s">
        <v>2530</v>
      </c>
      <c r="B22" s="401" t="s">
        <v>2494</v>
      </c>
      <c r="C22" s="401" t="s">
        <v>2531</v>
      </c>
      <c r="D22" s="401">
        <v>14.126595497131348</v>
      </c>
      <c r="E22" s="402">
        <v>1.7392679452896118</v>
      </c>
      <c r="F22" s="401">
        <v>1.371864914894104</v>
      </c>
      <c r="G22" s="403">
        <v>2021</v>
      </c>
      <c r="H22" s="403" t="s">
        <v>43</v>
      </c>
      <c r="I22" s="404" t="s">
        <v>2248</v>
      </c>
      <c r="J22" s="404">
        <v>2555.1</v>
      </c>
      <c r="K22" s="100">
        <f t="shared" si="0"/>
        <v>10.297366266722987</v>
      </c>
    </row>
    <row r="23" spans="1:15">
      <c r="A23" s="427" t="s">
        <v>2532</v>
      </c>
      <c r="B23" s="428" t="s">
        <v>2494</v>
      </c>
      <c r="C23" s="428" t="s">
        <v>2533</v>
      </c>
      <c r="D23" s="428">
        <v>3.2328593730926514</v>
      </c>
      <c r="E23" s="429">
        <v>0.7380295991897583</v>
      </c>
      <c r="F23" s="428">
        <v>0.27342760562896729</v>
      </c>
      <c r="G23" s="430"/>
      <c r="H23" s="430" t="s">
        <v>2669</v>
      </c>
      <c r="I23" s="431"/>
      <c r="J23" s="431">
        <v>3279.1</v>
      </c>
      <c r="K23" s="100">
        <f t="shared" si="0"/>
        <v>11.823456397740397</v>
      </c>
    </row>
    <row r="24" spans="1:15">
      <c r="A24" s="400" t="s">
        <v>2534</v>
      </c>
      <c r="B24" s="401" t="s">
        <v>2494</v>
      </c>
      <c r="C24" s="401" t="s">
        <v>2535</v>
      </c>
      <c r="D24" s="401">
        <v>14.192818641662598</v>
      </c>
      <c r="E24" s="402">
        <v>1.7350581884384155</v>
      </c>
      <c r="F24" s="401">
        <v>1.3955750465393066</v>
      </c>
      <c r="G24" s="403">
        <v>2021</v>
      </c>
      <c r="H24" s="403" t="s">
        <v>43</v>
      </c>
      <c r="I24" s="404" t="s">
        <v>2249</v>
      </c>
      <c r="J24" s="404">
        <v>2852.5</v>
      </c>
      <c r="K24" s="100">
        <f t="shared" si="0"/>
        <v>10.169871320684189</v>
      </c>
    </row>
    <row r="25" spans="1:15">
      <c r="A25" s="380" t="s">
        <v>2536</v>
      </c>
      <c r="B25" s="381" t="s">
        <v>2494</v>
      </c>
      <c r="C25" s="381" t="s">
        <v>2537</v>
      </c>
      <c r="D25" s="381">
        <v>14.98511791229248</v>
      </c>
      <c r="E25" s="382">
        <v>1.6605899333953857</v>
      </c>
      <c r="F25" s="381">
        <v>1.5582642555236816</v>
      </c>
      <c r="G25" s="388">
        <v>2021</v>
      </c>
      <c r="H25" s="388" t="s">
        <v>43</v>
      </c>
      <c r="I25" s="390">
        <v>17</v>
      </c>
      <c r="J25" s="390">
        <v>2671</v>
      </c>
      <c r="K25" s="100">
        <f t="shared" si="0"/>
        <v>9.6165447286451897</v>
      </c>
    </row>
    <row r="26" spans="1:15">
      <c r="A26" s="380" t="s">
        <v>2538</v>
      </c>
      <c r="B26" s="381" t="s">
        <v>2494</v>
      </c>
      <c r="C26" s="381" t="s">
        <v>2539</v>
      </c>
      <c r="D26" s="381">
        <v>18.895536422729492</v>
      </c>
      <c r="E26" s="454">
        <v>2.0036797523498535</v>
      </c>
      <c r="F26" s="381">
        <v>1.912310004234314</v>
      </c>
      <c r="G26" s="388">
        <v>2021</v>
      </c>
      <c r="H26" s="388" t="s">
        <v>43</v>
      </c>
      <c r="I26" s="390">
        <v>18</v>
      </c>
      <c r="J26" s="390">
        <v>2401.1</v>
      </c>
      <c r="K26" s="100">
        <f t="shared" si="0"/>
        <v>9.8810006645837927</v>
      </c>
    </row>
    <row r="27" spans="1:15">
      <c r="A27" s="380" t="s">
        <v>2540</v>
      </c>
      <c r="B27" s="381" t="s">
        <v>2494</v>
      </c>
      <c r="C27" s="381" t="s">
        <v>2541</v>
      </c>
      <c r="D27" s="381">
        <v>16.420463562011719</v>
      </c>
      <c r="E27" s="382">
        <v>1.4904898405075073</v>
      </c>
      <c r="F27" s="381">
        <v>1.5423842668533325</v>
      </c>
      <c r="G27" s="388">
        <v>2021</v>
      </c>
      <c r="H27" s="388" t="s">
        <v>43</v>
      </c>
      <c r="I27" s="390">
        <v>19</v>
      </c>
      <c r="J27" s="390">
        <v>3003.4</v>
      </c>
      <c r="K27" s="100">
        <f t="shared" si="0"/>
        <v>10.646156029269951</v>
      </c>
    </row>
    <row r="28" spans="1:15" ht="15" thickBot="1">
      <c r="A28" s="380" t="s">
        <v>2542</v>
      </c>
      <c r="B28" s="381" t="s">
        <v>2494</v>
      </c>
      <c r="C28" s="381" t="s">
        <v>2543</v>
      </c>
      <c r="D28" s="381">
        <v>16.273431777954102</v>
      </c>
      <c r="E28" s="382">
        <v>1.3515814542770386</v>
      </c>
      <c r="F28" s="381">
        <v>1.5127736330032349</v>
      </c>
      <c r="G28" s="388">
        <v>2021</v>
      </c>
      <c r="H28" s="391" t="s">
        <v>43</v>
      </c>
      <c r="I28" s="392">
        <v>20</v>
      </c>
      <c r="J28" s="392">
        <v>2361.6</v>
      </c>
      <c r="K28" s="100">
        <f t="shared" si="0"/>
        <v>10.757347578597903</v>
      </c>
    </row>
    <row r="29" spans="1:15" ht="15" thickTop="1">
      <c r="A29" s="380" t="s">
        <v>2544</v>
      </c>
      <c r="B29" s="381" t="s">
        <v>2494</v>
      </c>
      <c r="C29" s="381" t="s">
        <v>2545</v>
      </c>
      <c r="D29" s="381"/>
      <c r="E29" s="382"/>
      <c r="F29" s="381"/>
      <c r="K29" s="100"/>
    </row>
    <row r="30" spans="1:15">
      <c r="A30" s="380" t="s">
        <v>2546</v>
      </c>
      <c r="B30" s="381" t="s">
        <v>2494</v>
      </c>
      <c r="C30" s="381" t="s">
        <v>2547</v>
      </c>
      <c r="D30" s="381">
        <v>19.774139404296875</v>
      </c>
      <c r="E30" s="382">
        <v>1.9060772657394409</v>
      </c>
      <c r="F30" s="381">
        <v>2.2612068653106689</v>
      </c>
      <c r="G30" s="388">
        <v>2021</v>
      </c>
      <c r="H30" s="204" t="s">
        <v>43</v>
      </c>
      <c r="I30" s="205">
        <v>21</v>
      </c>
      <c r="J30" s="205">
        <v>2836.3</v>
      </c>
      <c r="K30" s="100">
        <f t="shared" si="0"/>
        <v>8.7449493045741704</v>
      </c>
    </row>
    <row r="31" spans="1:15">
      <c r="A31" s="405" t="s">
        <v>2548</v>
      </c>
      <c r="B31" s="406" t="s">
        <v>2494</v>
      </c>
      <c r="C31" s="406" t="s">
        <v>2549</v>
      </c>
      <c r="D31" s="406">
        <v>14.107197761535645</v>
      </c>
      <c r="E31" s="407">
        <v>1.0041217803955078</v>
      </c>
      <c r="F31" s="406">
        <v>0.9149206280708313</v>
      </c>
      <c r="G31" s="408">
        <v>2021</v>
      </c>
      <c r="H31" s="408" t="s">
        <v>46</v>
      </c>
      <c r="I31" s="408" t="s">
        <v>2250</v>
      </c>
      <c r="J31" s="409">
        <v>3060.7</v>
      </c>
      <c r="K31" s="100">
        <f t="shared" si="0"/>
        <v>15.419040000531602</v>
      </c>
      <c r="L31" s="408" t="str">
        <f>H31</f>
        <v>47_2000</v>
      </c>
      <c r="M31" s="409" t="str">
        <f>I31</f>
        <v>1_a</v>
      </c>
      <c r="N31" s="48" t="s">
        <v>2678</v>
      </c>
      <c r="O31" s="48"/>
    </row>
    <row r="32" spans="1:15">
      <c r="A32" s="380" t="s">
        <v>2550</v>
      </c>
      <c r="B32" s="381" t="s">
        <v>2494</v>
      </c>
      <c r="C32" s="381" t="s">
        <v>2551</v>
      </c>
      <c r="D32" s="381">
        <v>13.924801826477051</v>
      </c>
      <c r="E32" s="382">
        <v>0.89879518747329712</v>
      </c>
      <c r="F32" s="381">
        <v>0.88967561721801758</v>
      </c>
      <c r="G32" s="388">
        <v>2021</v>
      </c>
      <c r="H32" s="388" t="s">
        <v>46</v>
      </c>
      <c r="I32" s="390">
        <v>2</v>
      </c>
      <c r="J32" s="390">
        <v>2740.2</v>
      </c>
      <c r="K32" s="100">
        <f t="shared" si="0"/>
        <v>15.651549347861623</v>
      </c>
      <c r="L32" s="363"/>
      <c r="M32" s="363"/>
      <c r="N32" s="48" t="s">
        <v>2679</v>
      </c>
      <c r="O32" s="48" t="s">
        <v>2680</v>
      </c>
    </row>
    <row r="33" spans="1:25">
      <c r="A33" s="380" t="s">
        <v>2552</v>
      </c>
      <c r="B33" s="381" t="s">
        <v>2494</v>
      </c>
      <c r="C33" s="381" t="s">
        <v>2553</v>
      </c>
      <c r="D33" s="381">
        <v>13.59086799621582</v>
      </c>
      <c r="E33" s="382">
        <v>0.87965613603591919</v>
      </c>
      <c r="F33" s="381">
        <v>0.74985939264297485</v>
      </c>
      <c r="G33" s="388">
        <v>2021</v>
      </c>
      <c r="H33" s="388" t="s">
        <v>46</v>
      </c>
      <c r="I33" s="390">
        <v>3</v>
      </c>
      <c r="J33" s="390">
        <v>3148.7</v>
      </c>
      <c r="K33" s="100">
        <f t="shared" si="0"/>
        <v>18.124555256036839</v>
      </c>
      <c r="L33" s="363"/>
      <c r="M33" s="363" t="s">
        <v>262</v>
      </c>
      <c r="N33" s="447">
        <f>((F31-F46)/AVERAGE(F31,F46))*100</f>
        <v>1.4397532931354633</v>
      </c>
      <c r="O33" s="447">
        <f>((D31-D46)/AVERAGE(D31,D46))*100</f>
        <v>1.0526523239519892</v>
      </c>
    </row>
    <row r="34" spans="1:25">
      <c r="A34" s="427" t="s">
        <v>2554</v>
      </c>
      <c r="B34" s="428" t="s">
        <v>2494</v>
      </c>
      <c r="C34" s="428" t="s">
        <v>2555</v>
      </c>
      <c r="D34" s="428">
        <v>3.1700296401977539</v>
      </c>
      <c r="E34" s="429">
        <v>0.72101414203643799</v>
      </c>
      <c r="F34" s="428">
        <v>0.26600682735443115</v>
      </c>
      <c r="G34" s="430"/>
      <c r="H34" s="430" t="s">
        <v>2670</v>
      </c>
      <c r="I34" s="431"/>
      <c r="J34" s="431">
        <v>2889.5</v>
      </c>
      <c r="K34" s="100">
        <f t="shared" si="0"/>
        <v>11.917098789250108</v>
      </c>
    </row>
    <row r="35" spans="1:25">
      <c r="A35" s="380" t="s">
        <v>2556</v>
      </c>
      <c r="B35" s="381" t="s">
        <v>2494</v>
      </c>
      <c r="C35" s="381" t="s">
        <v>2557</v>
      </c>
      <c r="D35" s="381">
        <v>13.404953002929688</v>
      </c>
      <c r="E35" s="382">
        <v>0.81655263900756836</v>
      </c>
      <c r="F35" s="381">
        <v>0.73585402965545654</v>
      </c>
      <c r="G35" s="388">
        <v>2021</v>
      </c>
      <c r="H35" s="388" t="s">
        <v>46</v>
      </c>
      <c r="I35" s="390">
        <v>4</v>
      </c>
      <c r="J35" s="390">
        <v>2960.6</v>
      </c>
      <c r="K35" s="100">
        <f t="shared" si="0"/>
        <v>18.216864300119671</v>
      </c>
    </row>
    <row r="36" spans="1:25">
      <c r="A36" s="380" t="s">
        <v>2558</v>
      </c>
      <c r="B36" s="381" t="s">
        <v>2494</v>
      </c>
      <c r="C36" s="381" t="s">
        <v>2559</v>
      </c>
      <c r="D36" s="381">
        <v>13.477887153625488</v>
      </c>
      <c r="E36" s="382">
        <v>0.7985803484916687</v>
      </c>
      <c r="F36" s="381">
        <v>0.71515554189682007</v>
      </c>
      <c r="G36" s="388">
        <v>2021</v>
      </c>
      <c r="H36" s="388" t="s">
        <v>46</v>
      </c>
      <c r="I36" s="390">
        <v>5</v>
      </c>
      <c r="J36" s="390">
        <v>2814.6</v>
      </c>
      <c r="K36" s="100">
        <f t="shared" si="0"/>
        <v>18.846092023390945</v>
      </c>
    </row>
    <row r="37" spans="1:25">
      <c r="A37" s="380" t="s">
        <v>2560</v>
      </c>
      <c r="B37" s="381" t="s">
        <v>2494</v>
      </c>
      <c r="C37" s="381" t="s">
        <v>2561</v>
      </c>
      <c r="D37" s="381">
        <v>13.27193546295166</v>
      </c>
      <c r="E37" s="382">
        <v>0.78295207023620605</v>
      </c>
      <c r="F37" s="381">
        <v>0.64075922966003418</v>
      </c>
      <c r="G37" s="388">
        <v>2021</v>
      </c>
      <c r="H37" s="388" t="s">
        <v>46</v>
      </c>
      <c r="I37" s="390">
        <v>6</v>
      </c>
      <c r="J37" s="390">
        <v>3202.6</v>
      </c>
      <c r="K37" s="100">
        <f t="shared" si="0"/>
        <v>20.712827609199344</v>
      </c>
    </row>
    <row r="38" spans="1:25">
      <c r="A38" s="380" t="s">
        <v>2562</v>
      </c>
      <c r="B38" s="381" t="s">
        <v>2494</v>
      </c>
      <c r="C38" s="381" t="s">
        <v>2563</v>
      </c>
      <c r="D38" s="381">
        <v>14.19951057434082</v>
      </c>
      <c r="E38" s="382">
        <v>0.91161572933197021</v>
      </c>
      <c r="F38" s="381">
        <v>0.9704279899597168</v>
      </c>
      <c r="G38" s="388">
        <v>2021</v>
      </c>
      <c r="H38" s="388" t="s">
        <v>46</v>
      </c>
      <c r="I38" s="390">
        <v>7</v>
      </c>
      <c r="J38" s="390">
        <v>2469.4</v>
      </c>
      <c r="K38" s="100">
        <f t="shared" si="0"/>
        <v>14.632214570532176</v>
      </c>
    </row>
    <row r="39" spans="1:25">
      <c r="A39" s="380" t="s">
        <v>2564</v>
      </c>
      <c r="B39" s="381" t="s">
        <v>2494</v>
      </c>
      <c r="C39" s="381" t="s">
        <v>2565</v>
      </c>
      <c r="D39" s="381">
        <v>13.282626152038574</v>
      </c>
      <c r="E39" s="382">
        <v>0.80899035930633545</v>
      </c>
      <c r="F39" s="381">
        <v>0.68094116449356079</v>
      </c>
      <c r="G39" s="388">
        <v>2021</v>
      </c>
      <c r="H39" s="388" t="s">
        <v>46</v>
      </c>
      <c r="I39" s="390">
        <v>8</v>
      </c>
      <c r="J39" s="390">
        <v>2732.6</v>
      </c>
      <c r="K39" s="100">
        <f t="shared" si="0"/>
        <v>19.506275790974271</v>
      </c>
    </row>
    <row r="40" spans="1:25">
      <c r="A40" s="380" t="s">
        <v>2566</v>
      </c>
      <c r="B40" s="381" t="s">
        <v>2494</v>
      </c>
      <c r="C40" s="381" t="s">
        <v>2567</v>
      </c>
      <c r="D40" s="381">
        <v>13.480400085449219</v>
      </c>
      <c r="E40" s="382">
        <v>0.83418917655944824</v>
      </c>
      <c r="F40" s="381">
        <v>0.75413709878921509</v>
      </c>
      <c r="G40" s="388">
        <v>2021</v>
      </c>
      <c r="H40" s="388" t="s">
        <v>46</v>
      </c>
      <c r="I40" s="390">
        <v>9</v>
      </c>
      <c r="J40" s="390">
        <v>2794.8</v>
      </c>
      <c r="K40" s="100">
        <f t="shared" si="0"/>
        <v>17.875264467286279</v>
      </c>
    </row>
    <row r="41" spans="1:25" ht="15" thickBot="1">
      <c r="A41" s="380" t="s">
        <v>2568</v>
      </c>
      <c r="B41" s="381" t="s">
        <v>2494</v>
      </c>
      <c r="C41" s="381" t="s">
        <v>2569</v>
      </c>
      <c r="D41" s="381">
        <v>14.70237922668457</v>
      </c>
      <c r="E41" s="382">
        <v>1.0836693048477173</v>
      </c>
      <c r="F41" s="381">
        <v>1.2044748067855835</v>
      </c>
      <c r="G41" s="388">
        <v>2021</v>
      </c>
      <c r="H41" s="391" t="s">
        <v>46</v>
      </c>
      <c r="I41" s="392">
        <v>10</v>
      </c>
      <c r="J41" s="392">
        <v>2430.1999999999998</v>
      </c>
      <c r="K41" s="100">
        <f t="shared" si="0"/>
        <v>12.206464712965838</v>
      </c>
    </row>
    <row r="42" spans="1:25" ht="15" thickTop="1">
      <c r="A42" s="380" t="s">
        <v>2570</v>
      </c>
      <c r="B42" s="381" t="s">
        <v>2494</v>
      </c>
      <c r="C42" s="381" t="s">
        <v>2571</v>
      </c>
      <c r="D42" s="381"/>
      <c r="E42" s="382"/>
      <c r="F42" s="381"/>
      <c r="K42" s="100"/>
    </row>
    <row r="43" spans="1:25">
      <c r="A43" s="380" t="s">
        <v>2572</v>
      </c>
      <c r="B43" s="381" t="s">
        <v>2494</v>
      </c>
      <c r="C43" s="381" t="s">
        <v>2573</v>
      </c>
      <c r="D43" s="381">
        <v>13.774026870727539</v>
      </c>
      <c r="E43" s="382">
        <v>0.84470856189727783</v>
      </c>
      <c r="F43" s="381">
        <v>0.745186448097229</v>
      </c>
      <c r="G43" s="388">
        <v>2021</v>
      </c>
      <c r="H43" s="204" t="s">
        <v>46</v>
      </c>
      <c r="I43" s="205">
        <v>11</v>
      </c>
      <c r="J43" s="205">
        <v>3057.8</v>
      </c>
      <c r="K43" s="100">
        <f t="shared" si="0"/>
        <v>18.484000756989555</v>
      </c>
    </row>
    <row r="44" spans="1:25">
      <c r="A44" s="380" t="s">
        <v>2574</v>
      </c>
      <c r="B44" s="381" t="s">
        <v>2494</v>
      </c>
      <c r="C44" s="381" t="s">
        <v>2575</v>
      </c>
      <c r="D44" s="381">
        <v>13.801180839538574</v>
      </c>
      <c r="E44" s="382">
        <v>0.82383155822753906</v>
      </c>
      <c r="F44" s="381">
        <v>0.7299046516418457</v>
      </c>
      <c r="G44" s="388">
        <v>2021</v>
      </c>
      <c r="H44" s="388" t="s">
        <v>46</v>
      </c>
      <c r="I44" s="390">
        <v>12</v>
      </c>
      <c r="J44" s="390">
        <v>2709.1</v>
      </c>
      <c r="K44" s="100">
        <f t="shared" si="0"/>
        <v>18.908196856252708</v>
      </c>
    </row>
    <row r="45" spans="1:25">
      <c r="A45" s="380" t="s">
        <v>2576</v>
      </c>
      <c r="B45" s="381" t="s">
        <v>2494</v>
      </c>
      <c r="C45" s="381" t="s">
        <v>2577</v>
      </c>
      <c r="D45" s="381">
        <v>13.396884918212891</v>
      </c>
      <c r="E45" s="382">
        <v>0.76824688911437988</v>
      </c>
      <c r="F45" s="381">
        <v>0.65326589345932007</v>
      </c>
      <c r="G45" s="388">
        <v>2021</v>
      </c>
      <c r="H45" s="388" t="s">
        <v>46</v>
      </c>
      <c r="I45" s="390">
        <v>13</v>
      </c>
      <c r="J45" s="390">
        <v>2833.3</v>
      </c>
      <c r="K45" s="100">
        <f t="shared" si="0"/>
        <v>20.507552977043851</v>
      </c>
    </row>
    <row r="46" spans="1:25">
      <c r="A46" s="405" t="s">
        <v>2578</v>
      </c>
      <c r="B46" s="406" t="s">
        <v>2494</v>
      </c>
      <c r="C46" s="406" t="s">
        <v>2579</v>
      </c>
      <c r="D46" s="406">
        <v>13.959475517272949</v>
      </c>
      <c r="E46" s="407">
        <v>1.0161241292953491</v>
      </c>
      <c r="F46" s="406">
        <v>0.90184217691421509</v>
      </c>
      <c r="G46" s="408">
        <v>2021</v>
      </c>
      <c r="H46" s="408" t="s">
        <v>46</v>
      </c>
      <c r="I46" s="409" t="s">
        <v>2251</v>
      </c>
      <c r="J46" s="409">
        <v>3190.5</v>
      </c>
      <c r="K46" s="100">
        <f t="shared" si="0"/>
        <v>15.478845273168901</v>
      </c>
    </row>
    <row r="47" spans="1:25" ht="15.5">
      <c r="A47" s="380" t="s">
        <v>2580</v>
      </c>
      <c r="B47" s="381" t="s">
        <v>2494</v>
      </c>
      <c r="C47" s="381" t="s">
        <v>2581</v>
      </c>
      <c r="D47" s="381">
        <v>12.523312568664551</v>
      </c>
      <c r="E47" s="382">
        <v>0.7290109395980835</v>
      </c>
      <c r="F47" s="381">
        <v>0.56312376260757446</v>
      </c>
      <c r="G47" s="388">
        <v>2021</v>
      </c>
      <c r="H47" s="388" t="s">
        <v>46</v>
      </c>
      <c r="I47" s="390">
        <v>14</v>
      </c>
      <c r="J47" s="390">
        <v>2971.1</v>
      </c>
      <c r="K47" s="100">
        <f t="shared" si="0"/>
        <v>22.239005703958732</v>
      </c>
      <c r="S47" s="270" t="s">
        <v>2467</v>
      </c>
      <c r="T47" s="363"/>
      <c r="U47" s="270" t="s">
        <v>2681</v>
      </c>
      <c r="V47" s="363"/>
      <c r="W47" s="269" t="s">
        <v>2467</v>
      </c>
      <c r="X47" s="269"/>
      <c r="Y47" s="363"/>
    </row>
    <row r="48" spans="1:25">
      <c r="A48" s="380" t="s">
        <v>2582</v>
      </c>
      <c r="B48" s="381" t="s">
        <v>2494</v>
      </c>
      <c r="C48" s="381" t="s">
        <v>2583</v>
      </c>
      <c r="D48" s="381">
        <v>13.733110427856445</v>
      </c>
      <c r="E48" s="382">
        <v>1.0658955574035645</v>
      </c>
      <c r="F48" s="381">
        <v>1.1129355430603027</v>
      </c>
      <c r="G48" s="388">
        <v>2021</v>
      </c>
      <c r="H48" s="388" t="s">
        <v>46</v>
      </c>
      <c r="I48" s="390">
        <v>15</v>
      </c>
      <c r="J48" s="390">
        <v>2539.3000000000002</v>
      </c>
      <c r="K48" s="100">
        <f t="shared" si="0"/>
        <v>12.33953800243788</v>
      </c>
      <c r="S48" s="48" t="s">
        <v>2349</v>
      </c>
      <c r="T48" s="48" t="s">
        <v>2037</v>
      </c>
      <c r="U48" s="363"/>
      <c r="V48" s="48" t="s">
        <v>2037</v>
      </c>
      <c r="W48" s="1" t="s">
        <v>2679</v>
      </c>
      <c r="X48" s="1" t="s">
        <v>2680</v>
      </c>
      <c r="Y48" s="363"/>
    </row>
    <row r="49" spans="1:25">
      <c r="A49" s="432" t="s">
        <v>2584</v>
      </c>
      <c r="B49" s="433" t="s">
        <v>2494</v>
      </c>
      <c r="C49" s="433" t="s">
        <v>2585</v>
      </c>
      <c r="D49" s="433">
        <v>71.053375244140625</v>
      </c>
      <c r="E49" s="434">
        <v>6.7791966438293398</v>
      </c>
      <c r="F49" s="433">
        <v>10.314472198486328</v>
      </c>
      <c r="G49" s="435"/>
      <c r="H49" s="436" t="s">
        <v>2671</v>
      </c>
      <c r="I49" s="437"/>
      <c r="J49" s="437">
        <v>409.7</v>
      </c>
      <c r="K49" s="100">
        <f t="shared" si="0"/>
        <v>6.8887068457625844</v>
      </c>
      <c r="S49" s="450" t="s">
        <v>2679</v>
      </c>
      <c r="T49" s="363"/>
      <c r="U49" s="450" t="s">
        <v>2680</v>
      </c>
      <c r="V49" s="363"/>
      <c r="W49" s="48" t="s">
        <v>2682</v>
      </c>
      <c r="X49" s="48"/>
      <c r="Y49" s="363"/>
    </row>
    <row r="50" spans="1:25" ht="15.5">
      <c r="A50" s="380" t="s">
        <v>2586</v>
      </c>
      <c r="B50" s="381" t="s">
        <v>2494</v>
      </c>
      <c r="C50" s="381" t="s">
        <v>2587</v>
      </c>
      <c r="D50" s="381">
        <v>12.76450252532959</v>
      </c>
      <c r="E50" s="382">
        <v>1.3494713306427002</v>
      </c>
      <c r="F50" s="381">
        <v>1.0453460216522217</v>
      </c>
      <c r="G50" s="388">
        <v>2021</v>
      </c>
      <c r="H50" s="388" t="s">
        <v>46</v>
      </c>
      <c r="I50" s="390">
        <v>16</v>
      </c>
      <c r="J50" s="390">
        <v>2575.8000000000002</v>
      </c>
      <c r="K50" s="100">
        <f t="shared" si="0"/>
        <v>12.210791700488471</v>
      </c>
      <c r="S50" s="100">
        <f>AVERAGE(F23,F34,F75:F76)</f>
        <v>0.26461300253868103</v>
      </c>
      <c r="T50" s="196">
        <f>_xlfn.STDEV.P(F23,F34,F75:F76)</f>
        <v>6.0628404906133936E-3</v>
      </c>
      <c r="U50" s="100">
        <f>AVERAGE(D23,D34,D75,D76)</f>
        <v>3.1980751395225506</v>
      </c>
      <c r="V50" s="196">
        <f>_xlfn.STDEV.P(D23,D34,D75,D76)</f>
        <v>3.2163131512000398E-2</v>
      </c>
      <c r="W50" s="451">
        <f>((F23-$S$50)/$S$50)*100</f>
        <v>3.3311299919956654</v>
      </c>
      <c r="X50" s="451">
        <f>((D23-$U$50)/$U$50)*100</f>
        <v>1.0876615480427323</v>
      </c>
      <c r="Y50" s="363" t="s">
        <v>2669</v>
      </c>
    </row>
    <row r="51" spans="1:25" ht="15.5">
      <c r="A51" s="410" t="s">
        <v>2588</v>
      </c>
      <c r="B51" s="411" t="s">
        <v>2494</v>
      </c>
      <c r="C51" s="411" t="s">
        <v>2589</v>
      </c>
      <c r="D51" s="411">
        <v>12.81428337097168</v>
      </c>
      <c r="E51" s="412">
        <v>1.3273907899856567</v>
      </c>
      <c r="F51" s="411">
        <v>1.0476332902908325</v>
      </c>
      <c r="G51" s="413">
        <v>2021</v>
      </c>
      <c r="H51" s="413" t="s">
        <v>46</v>
      </c>
      <c r="I51" s="414" t="s">
        <v>2253</v>
      </c>
      <c r="J51" s="414">
        <v>2518.6</v>
      </c>
      <c r="K51" s="100">
        <f t="shared" si="0"/>
        <v>12.231649652345734</v>
      </c>
      <c r="L51" s="413" t="str">
        <f>H51</f>
        <v>47_2000</v>
      </c>
      <c r="M51" s="414" t="str">
        <f>I51</f>
        <v>17_a</v>
      </c>
      <c r="N51" s="48" t="s">
        <v>2678</v>
      </c>
      <c r="O51" s="48"/>
      <c r="P51" s="363"/>
      <c r="S51" s="363"/>
      <c r="T51" s="363"/>
      <c r="U51" s="363"/>
      <c r="V51" s="363"/>
      <c r="W51" s="451">
        <f>((F34-$S$50)/$S$50)*100</f>
        <v>0.52674086397034603</v>
      </c>
      <c r="X51" s="451">
        <f>((D34-$U$50)/$U$50)*100</f>
        <v>-0.87694935551088116</v>
      </c>
      <c r="Y51" s="363" t="s">
        <v>2670</v>
      </c>
    </row>
    <row r="52" spans="1:25" ht="15.5">
      <c r="A52" s="410" t="s">
        <v>2590</v>
      </c>
      <c r="B52" s="411" t="s">
        <v>2494</v>
      </c>
      <c r="C52" s="411" t="s">
        <v>2591</v>
      </c>
      <c r="D52" s="411">
        <v>12.842223167419434</v>
      </c>
      <c r="E52" s="412">
        <v>1.2933253049850464</v>
      </c>
      <c r="F52" s="411">
        <v>1.0463360548019409</v>
      </c>
      <c r="G52" s="413">
        <v>2021</v>
      </c>
      <c r="H52" s="413" t="s">
        <v>46</v>
      </c>
      <c r="I52" s="414" t="s">
        <v>2255</v>
      </c>
      <c r="J52" s="414">
        <v>2981.7</v>
      </c>
      <c r="K52" s="100">
        <f t="shared" si="0"/>
        <v>12.273516819460374</v>
      </c>
      <c r="L52" s="363"/>
      <c r="M52" s="363"/>
      <c r="N52" s="48" t="s">
        <v>2679</v>
      </c>
      <c r="O52" s="48" t="s">
        <v>2680</v>
      </c>
      <c r="P52" s="363"/>
      <c r="S52" s="363"/>
      <c r="T52" s="363"/>
      <c r="U52" s="363"/>
      <c r="V52" s="363"/>
      <c r="W52" s="451">
        <f>((F75-$S$50)/$S$50)*100</f>
        <v>-0.88415969520682591</v>
      </c>
      <c r="X52" s="451">
        <f>((D75-$U$50)/$U$50)*100</f>
        <v>0.91236315058759609</v>
      </c>
      <c r="Y52" s="363" t="s">
        <v>2673</v>
      </c>
    </row>
    <row r="53" spans="1:25" ht="15.5">
      <c r="A53" s="380" t="s">
        <v>2592</v>
      </c>
      <c r="B53" s="381" t="s">
        <v>2494</v>
      </c>
      <c r="C53" s="381" t="s">
        <v>2593</v>
      </c>
      <c r="D53" s="381">
        <v>14.649021148681641</v>
      </c>
      <c r="E53" s="382">
        <v>1.4096204042434692</v>
      </c>
      <c r="F53" s="381">
        <v>1.2081836462020874</v>
      </c>
      <c r="G53" s="388">
        <v>2021</v>
      </c>
      <c r="H53" s="388" t="s">
        <v>46</v>
      </c>
      <c r="I53" s="390">
        <v>18</v>
      </c>
      <c r="J53" s="390">
        <v>2785.8</v>
      </c>
      <c r="K53" s="100">
        <f t="shared" si="0"/>
        <v>12.124829859045589</v>
      </c>
      <c r="L53" s="363"/>
      <c r="M53" s="363" t="s">
        <v>262</v>
      </c>
      <c r="N53" s="448">
        <f>((F51-F52)/AVERAGE(F51,F52))*100</f>
        <v>0.12390205156839365</v>
      </c>
      <c r="O53" s="448">
        <f>((D51-D52)/AVERAGE(D51,D52))*100</f>
        <v>-0.21779891510908697</v>
      </c>
      <c r="P53" s="363"/>
      <c r="S53" s="363"/>
      <c r="T53" s="363"/>
      <c r="U53" s="363"/>
      <c r="V53" s="363"/>
      <c r="W53" s="451">
        <f>((F76-$S$50)/$S$50)*100</f>
        <v>-2.9737111607591853</v>
      </c>
      <c r="X53" s="451">
        <f>((D76-$U$50)/$U$50)*100</f>
        <v>-1.1230753431194471</v>
      </c>
      <c r="Y53" s="363" t="s">
        <v>2674</v>
      </c>
    </row>
    <row r="54" spans="1:25" ht="16" thickBot="1">
      <c r="A54" s="380" t="s">
        <v>2594</v>
      </c>
      <c r="B54" s="381" t="s">
        <v>2494</v>
      </c>
      <c r="C54" s="381" t="s">
        <v>2595</v>
      </c>
      <c r="D54" s="381">
        <v>14.125002861022949</v>
      </c>
      <c r="E54" s="382">
        <v>1.1774301528930664</v>
      </c>
      <c r="F54" s="381">
        <v>1.0670485496520996</v>
      </c>
      <c r="G54" s="388">
        <v>2021</v>
      </c>
      <c r="H54" s="391" t="s">
        <v>46</v>
      </c>
      <c r="I54" s="392">
        <v>19</v>
      </c>
      <c r="J54" s="392">
        <v>2959.4</v>
      </c>
      <c r="K54" s="100">
        <f t="shared" si="0"/>
        <v>13.237450972243263</v>
      </c>
      <c r="S54" s="363"/>
      <c r="T54" s="363"/>
      <c r="U54" s="363"/>
      <c r="V54" s="363"/>
      <c r="W54" s="270" t="s">
        <v>2683</v>
      </c>
      <c r="X54" s="269"/>
      <c r="Y54" s="363"/>
    </row>
    <row r="55" spans="1:25" ht="16" thickTop="1">
      <c r="A55" s="380" t="s">
        <v>2596</v>
      </c>
      <c r="B55" s="381" t="s">
        <v>2494</v>
      </c>
      <c r="C55" s="381" t="s">
        <v>2597</v>
      </c>
      <c r="D55" s="381"/>
      <c r="E55" s="382"/>
      <c r="F55" s="381"/>
      <c r="K55" s="100"/>
      <c r="S55" s="270" t="s">
        <v>2683</v>
      </c>
      <c r="T55" s="363"/>
      <c r="U55" s="270" t="s">
        <v>2681</v>
      </c>
      <c r="V55" s="363"/>
      <c r="W55" s="1" t="s">
        <v>2679</v>
      </c>
      <c r="X55" s="1" t="s">
        <v>2680</v>
      </c>
      <c r="Y55" s="363"/>
    </row>
    <row r="56" spans="1:25">
      <c r="A56" s="380" t="s">
        <v>2598</v>
      </c>
      <c r="B56" s="381" t="s">
        <v>2599</v>
      </c>
      <c r="C56" s="381" t="s">
        <v>2600</v>
      </c>
      <c r="D56" s="381">
        <v>13.717098236083984</v>
      </c>
      <c r="E56" s="382">
        <v>1.0279941558837891</v>
      </c>
      <c r="F56" s="381">
        <v>0.8848642110824585</v>
      </c>
      <c r="G56" s="388">
        <v>2021</v>
      </c>
      <c r="H56" s="204" t="s">
        <v>46</v>
      </c>
      <c r="I56" s="205">
        <v>20</v>
      </c>
      <c r="J56" s="205">
        <v>2788</v>
      </c>
      <c r="K56" s="100">
        <f t="shared" si="0"/>
        <v>15.501924548743807</v>
      </c>
      <c r="S56" s="48" t="s">
        <v>2349</v>
      </c>
      <c r="T56" s="48" t="s">
        <v>2037</v>
      </c>
      <c r="U56" s="48"/>
      <c r="V56" s="48" t="s">
        <v>2037</v>
      </c>
      <c r="W56" s="48" t="s">
        <v>2682</v>
      </c>
      <c r="X56" s="363"/>
      <c r="Y56" s="363"/>
    </row>
    <row r="57" spans="1:25" ht="15.5">
      <c r="A57" s="380" t="s">
        <v>2601</v>
      </c>
      <c r="B57" s="381" t="s">
        <v>2599</v>
      </c>
      <c r="C57" s="381" t="s">
        <v>2602</v>
      </c>
      <c r="D57" s="381">
        <v>15.621224403381348</v>
      </c>
      <c r="E57" s="382">
        <v>1.2585808038711548</v>
      </c>
      <c r="F57" s="381">
        <v>1.2779250144958496</v>
      </c>
      <c r="G57" s="388">
        <v>2021</v>
      </c>
      <c r="H57" s="388" t="s">
        <v>46</v>
      </c>
      <c r="I57" s="390">
        <v>21</v>
      </c>
      <c r="J57" s="390">
        <v>2951.3</v>
      </c>
      <c r="K57" s="100">
        <f t="shared" si="0"/>
        <v>12.223897510562487</v>
      </c>
      <c r="S57" s="450" t="s">
        <v>2679</v>
      </c>
      <c r="T57" s="363"/>
      <c r="U57" s="450" t="s">
        <v>2680</v>
      </c>
      <c r="V57" s="363"/>
      <c r="W57" s="451">
        <f>((F49-$S$58)/$S$58)*100</f>
        <v>1.0966938103008214E-2</v>
      </c>
      <c r="X57" s="451">
        <f>((D49-U58)/U58)*100</f>
        <v>-6.8066774466637253E-2</v>
      </c>
      <c r="Y57" s="452" t="s">
        <v>2671</v>
      </c>
    </row>
    <row r="58" spans="1:25" ht="15.5">
      <c r="A58" s="380" t="s">
        <v>2603</v>
      </c>
      <c r="B58" s="381" t="s">
        <v>2599</v>
      </c>
      <c r="C58" s="381" t="s">
        <v>2604</v>
      </c>
      <c r="D58" s="381">
        <v>15.081723213195801</v>
      </c>
      <c r="E58" s="382">
        <v>1.1013801097869873</v>
      </c>
      <c r="F58" s="381">
        <v>0.97975075244903564</v>
      </c>
      <c r="G58" s="388">
        <v>2021</v>
      </c>
      <c r="H58" s="388" t="s">
        <v>47</v>
      </c>
      <c r="I58" s="388">
        <v>1</v>
      </c>
      <c r="J58" s="390">
        <v>2913.2</v>
      </c>
      <c r="K58" s="100">
        <f t="shared" si="0"/>
        <v>15.393428558739808</v>
      </c>
      <c r="S58" s="100">
        <f>AVERAGE(F49,F67,F86:F87)</f>
        <v>10.31334114074707</v>
      </c>
      <c r="T58" s="196">
        <f>_xlfn.STDEV.P(F49,F67,F86:F87)</f>
        <v>4.2104419775216395E-2</v>
      </c>
      <c r="U58" s="100">
        <f>AVERAGE(D49,D67,D86:D87)</f>
        <v>71.101771926879877</v>
      </c>
      <c r="V58" s="196">
        <f>_xlfn.STDEV.P(D49,D67,D86:D87)</f>
        <v>8.1626811227596935E-2</v>
      </c>
      <c r="W58" s="451">
        <f>((F67-S58)/S58)*100</f>
        <v>0.66290794744228998</v>
      </c>
      <c r="X58" s="451">
        <f>((D67-U58)/U58)*100</f>
        <v>0.11798494856691105</v>
      </c>
      <c r="Y58" s="452" t="s">
        <v>2672</v>
      </c>
    </row>
    <row r="59" spans="1:25" ht="15.5">
      <c r="A59" s="380" t="s">
        <v>2605</v>
      </c>
      <c r="B59" s="381" t="s">
        <v>2599</v>
      </c>
      <c r="C59" s="381" t="s">
        <v>2606</v>
      </c>
      <c r="D59" s="381">
        <v>13.483695030212402</v>
      </c>
      <c r="E59" s="382">
        <v>0.79430639743804932</v>
      </c>
      <c r="F59" s="381">
        <v>0.69368797540664673</v>
      </c>
      <c r="G59" s="388">
        <v>2021</v>
      </c>
      <c r="H59" s="388" t="s">
        <v>47</v>
      </c>
      <c r="I59" s="390">
        <v>2</v>
      </c>
      <c r="J59" s="390">
        <v>2981</v>
      </c>
      <c r="K59" s="100">
        <f t="shared" si="0"/>
        <v>19.43769462388061</v>
      </c>
      <c r="S59" s="363"/>
      <c r="T59" s="363"/>
      <c r="U59" s="363"/>
      <c r="V59" s="363"/>
      <c r="W59" s="453">
        <f>((F86-S58)/S58)*100</f>
        <v>-0.34231457136194021</v>
      </c>
      <c r="X59" s="453">
        <f>((D86-U58)/U58)*100</f>
        <v>0.10333601770090908</v>
      </c>
      <c r="Y59" s="452" t="s">
        <v>2675</v>
      </c>
    </row>
    <row r="60" spans="1:25" ht="15.5">
      <c r="A60" s="380" t="s">
        <v>2607</v>
      </c>
      <c r="B60" s="381" t="s">
        <v>2599</v>
      </c>
      <c r="C60" s="381" t="s">
        <v>2608</v>
      </c>
      <c r="D60" s="381">
        <v>14.58903980255127</v>
      </c>
      <c r="E60" s="382">
        <v>0.98879742622375488</v>
      </c>
      <c r="F60" s="381">
        <v>0.94144737720489502</v>
      </c>
      <c r="G60" s="388">
        <v>2021</v>
      </c>
      <c r="H60" s="388" t="s">
        <v>47</v>
      </c>
      <c r="I60" s="390">
        <v>3</v>
      </c>
      <c r="J60" s="390">
        <v>2942.9</v>
      </c>
      <c r="K60" s="100">
        <f t="shared" si="0"/>
        <v>15.496394334716104</v>
      </c>
      <c r="S60" s="363"/>
      <c r="T60" s="363"/>
      <c r="U60" s="363"/>
      <c r="V60" s="363"/>
      <c r="W60" s="451">
        <f>((F87-S58)/S58)*100</f>
        <v>-0.33156031418335796</v>
      </c>
      <c r="X60" s="451">
        <f>((D87-U58)/U58)*100</f>
        <v>-0.1532541918011629</v>
      </c>
      <c r="Y60" s="452" t="s">
        <v>2676</v>
      </c>
    </row>
    <row r="61" spans="1:25">
      <c r="A61" s="380" t="s">
        <v>2609</v>
      </c>
      <c r="B61" s="381" t="s">
        <v>2599</v>
      </c>
      <c r="C61" s="381" t="s">
        <v>2610</v>
      </c>
      <c r="D61" s="381">
        <v>13.097996711730957</v>
      </c>
      <c r="E61" s="382">
        <v>0.72383099794387817</v>
      </c>
      <c r="F61" s="381">
        <v>0.58873683214187622</v>
      </c>
      <c r="G61" s="388">
        <v>2021</v>
      </c>
      <c r="H61" s="388" t="s">
        <v>47</v>
      </c>
      <c r="I61" s="390">
        <v>4</v>
      </c>
      <c r="J61" s="390">
        <v>3142.3</v>
      </c>
      <c r="K61" s="100">
        <f t="shared" si="0"/>
        <v>22.247625758489232</v>
      </c>
    </row>
    <row r="62" spans="1:25">
      <c r="A62" s="380" t="s">
        <v>2611</v>
      </c>
      <c r="B62" s="381" t="s">
        <v>2599</v>
      </c>
      <c r="C62" s="381" t="s">
        <v>2612</v>
      </c>
      <c r="D62" s="381">
        <v>14.397756576538086</v>
      </c>
      <c r="E62" s="382">
        <v>0.92513555288314819</v>
      </c>
      <c r="F62" s="381">
        <v>0.95175492763519287</v>
      </c>
      <c r="G62" s="388">
        <v>2021</v>
      </c>
      <c r="H62" s="388" t="s">
        <v>47</v>
      </c>
      <c r="I62" s="390">
        <v>5</v>
      </c>
      <c r="J62" s="390">
        <v>2671.2</v>
      </c>
      <c r="K62" s="100">
        <f t="shared" si="0"/>
        <v>15.127588162124797</v>
      </c>
    </row>
    <row r="63" spans="1:25">
      <c r="A63" s="380" t="s">
        <v>2613</v>
      </c>
      <c r="B63" s="381" t="s">
        <v>2599</v>
      </c>
      <c r="C63" s="381" t="s">
        <v>2614</v>
      </c>
      <c r="D63" s="381">
        <v>14.951759338378906</v>
      </c>
      <c r="E63" s="382">
        <v>1.0374045372009277</v>
      </c>
      <c r="F63" s="381">
        <v>1.0744222402572632</v>
      </c>
      <c r="G63" s="388">
        <v>2021</v>
      </c>
      <c r="H63" s="388" t="s">
        <v>47</v>
      </c>
      <c r="I63" s="390">
        <v>6</v>
      </c>
      <c r="J63" s="390">
        <v>2884.4</v>
      </c>
      <c r="K63" s="100">
        <f t="shared" si="0"/>
        <v>13.916092554821658</v>
      </c>
    </row>
    <row r="64" spans="1:25">
      <c r="A64" s="380" t="s">
        <v>2615</v>
      </c>
      <c r="B64" s="381" t="s">
        <v>2599</v>
      </c>
      <c r="C64" s="381" t="s">
        <v>2616</v>
      </c>
      <c r="D64" s="381">
        <v>13.824623107910156</v>
      </c>
      <c r="E64" s="382">
        <v>0.83683067560195923</v>
      </c>
      <c r="F64" s="381">
        <v>0.85265332460403442</v>
      </c>
      <c r="G64" s="388">
        <v>2021</v>
      </c>
      <c r="H64" s="388" t="s">
        <v>47</v>
      </c>
      <c r="I64" s="390">
        <v>7</v>
      </c>
      <c r="J64" s="390">
        <v>3163.9</v>
      </c>
      <c r="K64" s="100">
        <f t="shared" si="0"/>
        <v>16.213650623282568</v>
      </c>
    </row>
    <row r="65" spans="1:16">
      <c r="A65" s="380" t="s">
        <v>2617</v>
      </c>
      <c r="B65" s="381" t="s">
        <v>2599</v>
      </c>
      <c r="C65" s="381" t="s">
        <v>2618</v>
      </c>
      <c r="D65" s="381">
        <v>13.053657531738281</v>
      </c>
      <c r="E65" s="382">
        <v>0.70937174558639526</v>
      </c>
      <c r="F65" s="381">
        <v>0.63178735971450806</v>
      </c>
      <c r="G65" s="388">
        <v>2021</v>
      </c>
      <c r="H65" s="388" t="s">
        <v>47</v>
      </c>
      <c r="I65" s="390">
        <v>8</v>
      </c>
      <c r="J65" s="390">
        <v>2603.3000000000002</v>
      </c>
      <c r="K65" s="100">
        <f t="shared" si="0"/>
        <v>20.661473090624931</v>
      </c>
    </row>
    <row r="66" spans="1:16">
      <c r="A66" s="380" t="s">
        <v>2619</v>
      </c>
      <c r="B66" s="381" t="s">
        <v>2599</v>
      </c>
      <c r="C66" s="381" t="s">
        <v>2620</v>
      </c>
      <c r="D66" s="381">
        <v>12.87428092956543</v>
      </c>
      <c r="E66" s="382">
        <v>0.69423598051071167</v>
      </c>
      <c r="F66" s="381">
        <v>0.57795721292495728</v>
      </c>
      <c r="G66" s="388">
        <v>2021</v>
      </c>
      <c r="H66" s="388" t="s">
        <v>47</v>
      </c>
      <c r="I66" s="390">
        <v>9</v>
      </c>
      <c r="J66" s="390">
        <v>3024.9</v>
      </c>
      <c r="K66" s="100">
        <f t="shared" si="0"/>
        <v>22.275491406034313</v>
      </c>
    </row>
    <row r="67" spans="1:16" ht="15" thickBot="1">
      <c r="A67" s="432" t="s">
        <v>2621</v>
      </c>
      <c r="B67" s="433" t="s">
        <v>2599</v>
      </c>
      <c r="C67" s="433" t="s">
        <v>2622</v>
      </c>
      <c r="D67" s="433">
        <v>71.185661315917969</v>
      </c>
      <c r="E67" s="434">
        <v>6.9552807807922363</v>
      </c>
      <c r="F67" s="433">
        <v>10.381709098815918</v>
      </c>
      <c r="G67" s="438"/>
      <c r="H67" s="439" t="s">
        <v>2672</v>
      </c>
      <c r="I67" s="440"/>
      <c r="J67" s="440">
        <v>758.8</v>
      </c>
      <c r="K67" s="100">
        <f t="shared" si="0"/>
        <v>6.8568345190906017</v>
      </c>
    </row>
    <row r="68" spans="1:16" ht="15" thickTop="1">
      <c r="A68" s="380" t="s">
        <v>2623</v>
      </c>
      <c r="B68" s="381" t="s">
        <v>2599</v>
      </c>
      <c r="C68" s="381" t="s">
        <v>2624</v>
      </c>
      <c r="D68" s="381"/>
      <c r="E68" s="382"/>
      <c r="F68" s="381"/>
      <c r="K68" s="100"/>
    </row>
    <row r="69" spans="1:16">
      <c r="A69" s="380" t="s">
        <v>2625</v>
      </c>
      <c r="B69" s="381" t="s">
        <v>2599</v>
      </c>
      <c r="C69" s="381" t="s">
        <v>2626</v>
      </c>
      <c r="D69" s="381">
        <v>12.646454811096191</v>
      </c>
      <c r="E69" s="382">
        <v>0.65757787227630615</v>
      </c>
      <c r="F69" s="381">
        <v>0.54261618852615356</v>
      </c>
      <c r="G69" s="388">
        <v>2021</v>
      </c>
      <c r="H69" s="204" t="s">
        <v>47</v>
      </c>
      <c r="I69" s="205">
        <v>10</v>
      </c>
      <c r="J69" s="205">
        <v>2917.4</v>
      </c>
      <c r="K69" s="100">
        <f t="shared" si="0"/>
        <v>23.306445842403473</v>
      </c>
    </row>
    <row r="70" spans="1:16">
      <c r="A70" s="415" t="s">
        <v>2627</v>
      </c>
      <c r="B70" s="416" t="s">
        <v>2599</v>
      </c>
      <c r="C70" s="416" t="s">
        <v>2628</v>
      </c>
      <c r="D70" s="416">
        <v>13.496709823608398</v>
      </c>
      <c r="E70" s="417">
        <v>0.80192172527313232</v>
      </c>
      <c r="F70" s="416">
        <v>0.67911934852600098</v>
      </c>
      <c r="G70" s="418">
        <v>2021</v>
      </c>
      <c r="H70" s="418" t="s">
        <v>47</v>
      </c>
      <c r="I70" s="419" t="s">
        <v>2257</v>
      </c>
      <c r="J70" s="419">
        <v>2934.4</v>
      </c>
      <c r="K70" s="100">
        <f t="shared" ref="K70:K87" si="1">D70/F70</f>
        <v>19.873840810017299</v>
      </c>
      <c r="L70" s="418" t="str">
        <f>H70</f>
        <v>47_3800</v>
      </c>
      <c r="M70" s="419" t="str">
        <f>I70</f>
        <v>11_a</v>
      </c>
      <c r="N70" s="48" t="s">
        <v>2678</v>
      </c>
      <c r="O70" s="48"/>
      <c r="P70" s="363"/>
    </row>
    <row r="71" spans="1:16">
      <c r="A71" s="380" t="s">
        <v>2629</v>
      </c>
      <c r="B71" s="381" t="s">
        <v>2599</v>
      </c>
      <c r="C71" s="381" t="s">
        <v>2630</v>
      </c>
      <c r="D71" s="381">
        <v>13.870151519775391</v>
      </c>
      <c r="E71" s="382">
        <v>0.82141661643981934</v>
      </c>
      <c r="F71" s="381">
        <v>0.6909220814704895</v>
      </c>
      <c r="G71" s="388">
        <v>2021</v>
      </c>
      <c r="H71" s="388" t="s">
        <v>47</v>
      </c>
      <c r="I71" s="390">
        <v>12</v>
      </c>
      <c r="J71" s="390">
        <v>3182.9</v>
      </c>
      <c r="K71" s="100">
        <f t="shared" si="1"/>
        <v>20.074841855185099</v>
      </c>
      <c r="L71" s="363"/>
      <c r="M71" s="363"/>
      <c r="N71" s="48" t="s">
        <v>2679</v>
      </c>
      <c r="O71" s="48" t="s">
        <v>2680</v>
      </c>
      <c r="P71" s="363"/>
    </row>
    <row r="72" spans="1:16">
      <c r="A72" s="380" t="s">
        <v>2631</v>
      </c>
      <c r="B72" s="381" t="s">
        <v>2599</v>
      </c>
      <c r="C72" s="381" t="s">
        <v>2632</v>
      </c>
      <c r="D72" s="381">
        <v>13.592611312866211</v>
      </c>
      <c r="E72" s="382">
        <v>0.77029335498809814</v>
      </c>
      <c r="F72" s="381">
        <v>0.69899576902389526</v>
      </c>
      <c r="G72" s="388">
        <v>2021</v>
      </c>
      <c r="H72" s="204" t="s">
        <v>47</v>
      </c>
      <c r="I72" s="205">
        <v>13</v>
      </c>
      <c r="J72" s="205">
        <v>2877</v>
      </c>
      <c r="K72" s="100">
        <f t="shared" si="1"/>
        <v>19.445913573765203</v>
      </c>
      <c r="L72" s="363"/>
      <c r="M72" s="363" t="s">
        <v>262</v>
      </c>
      <c r="N72" s="449">
        <f>((F70-F82)/AVERAGE(F70,F82))*100</f>
        <v>1.8557828395960398</v>
      </c>
      <c r="O72" s="449">
        <f>((D70-D82)/AVERAGE(D70,D82))*100</f>
        <v>0.17371940285334331</v>
      </c>
      <c r="P72" s="363"/>
    </row>
    <row r="73" spans="1:16">
      <c r="A73" s="380" t="s">
        <v>2633</v>
      </c>
      <c r="B73" s="381" t="s">
        <v>2599</v>
      </c>
      <c r="C73" s="381" t="s">
        <v>2634</v>
      </c>
      <c r="D73" s="381">
        <v>12.755533218383789</v>
      </c>
      <c r="E73" s="382">
        <v>0.68749332427978516</v>
      </c>
      <c r="F73" s="381">
        <v>0.57462620735168457</v>
      </c>
      <c r="G73" s="388">
        <v>2021</v>
      </c>
      <c r="H73" s="388" t="s">
        <v>47</v>
      </c>
      <c r="I73" s="390">
        <v>14</v>
      </c>
      <c r="J73" s="390">
        <v>2847.9</v>
      </c>
      <c r="K73" s="100">
        <f t="shared" si="1"/>
        <v>22.197966356548555</v>
      </c>
    </row>
    <row r="74" spans="1:16">
      <c r="A74" s="380" t="s">
        <v>2635</v>
      </c>
      <c r="B74" s="381" t="s">
        <v>2599</v>
      </c>
      <c r="C74" s="381" t="s">
        <v>2636</v>
      </c>
      <c r="D74" s="381">
        <v>12.204427719116211</v>
      </c>
      <c r="E74" s="382">
        <v>0.73700457811355591</v>
      </c>
      <c r="F74" s="381">
        <v>0.54127126932144165</v>
      </c>
      <c r="G74" s="388">
        <v>2021</v>
      </c>
      <c r="H74" s="388" t="s">
        <v>47</v>
      </c>
      <c r="I74" s="390">
        <v>15</v>
      </c>
      <c r="J74" s="390">
        <v>2816.7</v>
      </c>
      <c r="K74" s="100">
        <f t="shared" si="1"/>
        <v>22.547710197912682</v>
      </c>
    </row>
    <row r="75" spans="1:16">
      <c r="A75" s="427" t="s">
        <v>2637</v>
      </c>
      <c r="B75" s="428" t="s">
        <v>2599</v>
      </c>
      <c r="C75" s="428" t="s">
        <v>2638</v>
      </c>
      <c r="D75" s="428">
        <v>3.2272531986236572</v>
      </c>
      <c r="E75" s="429">
        <v>0.7607349157333374</v>
      </c>
      <c r="F75" s="428">
        <v>0.2622734010219574</v>
      </c>
      <c r="G75" s="430"/>
      <c r="H75" s="430" t="s">
        <v>2673</v>
      </c>
      <c r="I75" s="431"/>
      <c r="J75" s="431">
        <v>2111.1</v>
      </c>
      <c r="K75" s="100">
        <f t="shared" si="1"/>
        <v>12.304919927253597</v>
      </c>
    </row>
    <row r="76" spans="1:16">
      <c r="A76" s="427" t="s">
        <v>2639</v>
      </c>
      <c r="B76" s="428" t="s">
        <v>2599</v>
      </c>
      <c r="C76" s="428" t="s">
        <v>2640</v>
      </c>
      <c r="D76" s="428">
        <v>3.16215834617614</v>
      </c>
      <c r="E76" s="429">
        <v>0.69711130857467651</v>
      </c>
      <c r="F76" s="428">
        <v>0.25674417614936829</v>
      </c>
      <c r="G76" s="430"/>
      <c r="H76" s="430" t="s">
        <v>2674</v>
      </c>
      <c r="I76" s="431"/>
      <c r="J76" s="431">
        <v>3149.4</v>
      </c>
      <c r="K76" s="100">
        <f t="shared" si="1"/>
        <v>12.316378091226746</v>
      </c>
    </row>
    <row r="77" spans="1:16">
      <c r="A77" s="422" t="s">
        <v>2641</v>
      </c>
      <c r="B77" s="423" t="s">
        <v>2599</v>
      </c>
      <c r="C77" s="423" t="s">
        <v>2642</v>
      </c>
      <c r="D77" s="423">
        <v>12.252190589904785</v>
      </c>
      <c r="E77" s="424">
        <v>1.1297644376754761</v>
      </c>
      <c r="F77" s="423">
        <v>0.85000878572463989</v>
      </c>
      <c r="G77" s="425">
        <v>2021</v>
      </c>
      <c r="H77" s="425" t="s">
        <v>47</v>
      </c>
      <c r="I77" s="426" t="s">
        <v>2248</v>
      </c>
      <c r="J77" s="426">
        <v>2558.1</v>
      </c>
      <c r="K77" s="100">
        <f t="shared" si="1"/>
        <v>14.414192883264949</v>
      </c>
    </row>
    <row r="78" spans="1:16">
      <c r="A78" s="422" t="s">
        <v>2643</v>
      </c>
      <c r="B78" s="423" t="s">
        <v>2599</v>
      </c>
      <c r="C78" s="423" t="s">
        <v>2644</v>
      </c>
      <c r="D78" s="423">
        <v>12.279083251953125</v>
      </c>
      <c r="E78" s="424">
        <v>1.1976891756057739</v>
      </c>
      <c r="F78" s="423">
        <v>0.86745387315750122</v>
      </c>
      <c r="G78" s="425">
        <v>2021</v>
      </c>
      <c r="H78" s="425" t="s">
        <v>47</v>
      </c>
      <c r="I78" s="426" t="s">
        <v>2249</v>
      </c>
      <c r="J78" s="426">
        <v>2672.5</v>
      </c>
      <c r="K78" s="100">
        <f t="shared" si="1"/>
        <v>14.155315495056469</v>
      </c>
    </row>
    <row r="79" spans="1:16">
      <c r="A79" s="380" t="s">
        <v>2645</v>
      </c>
      <c r="B79" s="381" t="s">
        <v>2599</v>
      </c>
      <c r="C79" s="381" t="s">
        <v>2646</v>
      </c>
      <c r="D79" s="381">
        <v>12.215860366821289</v>
      </c>
      <c r="E79" s="382">
        <v>1.1880029439926147</v>
      </c>
      <c r="F79" s="381">
        <v>0.86576175689697266</v>
      </c>
      <c r="G79" s="388">
        <v>2021</v>
      </c>
      <c r="H79" s="388" t="s">
        <v>47</v>
      </c>
      <c r="I79" s="390">
        <v>17</v>
      </c>
      <c r="J79" s="390">
        <v>2572.1999999999998</v>
      </c>
      <c r="K79" s="100">
        <f t="shared" si="1"/>
        <v>14.109956081456946</v>
      </c>
    </row>
    <row r="80" spans="1:16" ht="15" thickBot="1">
      <c r="A80" s="380" t="s">
        <v>2647</v>
      </c>
      <c r="B80" s="381" t="s">
        <v>2599</v>
      </c>
      <c r="C80" s="381" t="s">
        <v>2648</v>
      </c>
      <c r="D80" s="381">
        <v>13.20694637298584</v>
      </c>
      <c r="E80" s="382">
        <v>1.1260498762130737</v>
      </c>
      <c r="F80" s="381">
        <v>0.96769630908966064</v>
      </c>
      <c r="G80" s="388">
        <v>2021</v>
      </c>
      <c r="H80" s="391" t="s">
        <v>47</v>
      </c>
      <c r="I80" s="392">
        <v>18</v>
      </c>
      <c r="J80" s="392">
        <v>2687.2</v>
      </c>
      <c r="K80" s="100">
        <f t="shared" si="1"/>
        <v>13.647821376326204</v>
      </c>
    </row>
    <row r="81" spans="1:11" ht="15" thickTop="1">
      <c r="A81" s="380" t="s">
        <v>2649</v>
      </c>
      <c r="B81" s="381" t="s">
        <v>2599</v>
      </c>
      <c r="C81" s="381" t="s">
        <v>2650</v>
      </c>
      <c r="D81" s="381"/>
      <c r="E81" s="382"/>
      <c r="F81" s="381"/>
      <c r="K81" s="100"/>
    </row>
    <row r="82" spans="1:11">
      <c r="A82" s="415" t="s">
        <v>2651</v>
      </c>
      <c r="B82" s="416" t="s">
        <v>2599</v>
      </c>
      <c r="C82" s="416" t="s">
        <v>2652</v>
      </c>
      <c r="D82" s="416">
        <v>13.473283767700195</v>
      </c>
      <c r="E82" s="417">
        <v>0.76889938116073608</v>
      </c>
      <c r="F82" s="416">
        <v>0.66663223505020142</v>
      </c>
      <c r="G82" s="418">
        <v>2021</v>
      </c>
      <c r="H82" s="420" t="s">
        <v>47</v>
      </c>
      <c r="I82" s="421" t="s">
        <v>2258</v>
      </c>
      <c r="J82" s="421">
        <v>3009.5</v>
      </c>
      <c r="K82" s="100">
        <f t="shared" si="1"/>
        <v>20.210969496075414</v>
      </c>
    </row>
    <row r="83" spans="1:11">
      <c r="A83" s="380" t="s">
        <v>2653</v>
      </c>
      <c r="B83" s="381" t="s">
        <v>2599</v>
      </c>
      <c r="C83" s="381" t="s">
        <v>2654</v>
      </c>
      <c r="D83" s="381">
        <v>12.760601043701172</v>
      </c>
      <c r="E83" s="382">
        <v>0.8876107931137085</v>
      </c>
      <c r="F83" s="381">
        <v>0.75886780023574829</v>
      </c>
      <c r="G83" s="388">
        <v>2021</v>
      </c>
      <c r="H83" s="388" t="s">
        <v>47</v>
      </c>
      <c r="I83" s="390">
        <v>19</v>
      </c>
      <c r="J83" s="390">
        <v>2499.3000000000002</v>
      </c>
      <c r="K83" s="100">
        <f t="shared" si="1"/>
        <v>16.815314920117824</v>
      </c>
    </row>
    <row r="84" spans="1:11">
      <c r="A84" s="380" t="s">
        <v>2655</v>
      </c>
      <c r="B84" s="381" t="s">
        <v>2599</v>
      </c>
      <c r="C84" s="381" t="s">
        <v>2656</v>
      </c>
      <c r="D84" s="381">
        <v>13.243734359741211</v>
      </c>
      <c r="E84" s="382">
        <v>0.93009138107299805</v>
      </c>
      <c r="F84" s="381">
        <v>0.85906893014907837</v>
      </c>
      <c r="G84" s="388">
        <v>2021</v>
      </c>
      <c r="H84" s="388" t="s">
        <v>47</v>
      </c>
      <c r="I84" s="390">
        <v>20</v>
      </c>
      <c r="J84" s="390">
        <v>2522.1</v>
      </c>
      <c r="K84" s="100">
        <f t="shared" si="1"/>
        <v>15.416381497399705</v>
      </c>
    </row>
    <row r="85" spans="1:11">
      <c r="A85" s="380" t="s">
        <v>2657</v>
      </c>
      <c r="B85" s="381" t="s">
        <v>2599</v>
      </c>
      <c r="C85" s="381" t="s">
        <v>2658</v>
      </c>
      <c r="D85" s="381">
        <v>12.574892044067383</v>
      </c>
      <c r="E85" s="382">
        <v>0.75338006019592285</v>
      </c>
      <c r="F85" s="381">
        <v>0.58193188905715942</v>
      </c>
      <c r="G85" s="388">
        <v>2021</v>
      </c>
      <c r="H85" s="204" t="s">
        <v>47</v>
      </c>
      <c r="I85" s="205">
        <v>21</v>
      </c>
      <c r="J85" s="205">
        <v>2732</v>
      </c>
      <c r="K85" s="100">
        <f t="shared" si="1"/>
        <v>21.608872585486086</v>
      </c>
    </row>
    <row r="86" spans="1:11">
      <c r="A86" s="432" t="s">
        <v>2659</v>
      </c>
      <c r="B86" s="433" t="s">
        <v>2599</v>
      </c>
      <c r="C86" s="433" t="s">
        <v>2660</v>
      </c>
      <c r="D86" s="433">
        <v>71.175245666503898</v>
      </c>
      <c r="E86" s="434">
        <v>6.79623165130615</v>
      </c>
      <c r="F86" s="433">
        <v>10.278037071228027</v>
      </c>
      <c r="G86" s="435"/>
      <c r="H86" s="436" t="s">
        <v>2675</v>
      </c>
      <c r="I86" s="437"/>
      <c r="J86" s="437">
        <v>483.7</v>
      </c>
      <c r="K86" s="100">
        <f t="shared" si="1"/>
        <v>6.9249843304953007</v>
      </c>
    </row>
    <row r="87" spans="1:11">
      <c r="A87" s="432" t="s">
        <v>2661</v>
      </c>
      <c r="B87" s="433" t="s">
        <v>2599</v>
      </c>
      <c r="C87" s="433" t="s">
        <v>2662</v>
      </c>
      <c r="D87" s="433">
        <v>70.992805480957031</v>
      </c>
      <c r="E87" s="434">
        <v>6.7793449401855401</v>
      </c>
      <c r="F87" s="433">
        <v>10.279146194458008</v>
      </c>
      <c r="G87" s="435"/>
      <c r="H87" s="441" t="s">
        <v>2676</v>
      </c>
      <c r="I87" s="442"/>
      <c r="J87" s="437">
        <v>571.70000000000005</v>
      </c>
      <c r="K87" s="100">
        <f t="shared" si="1"/>
        <v>6.9064885485559815</v>
      </c>
    </row>
    <row r="88" spans="1:11">
      <c r="A88" s="363"/>
      <c r="B88" s="363"/>
      <c r="C88" s="363"/>
      <c r="D88" s="363"/>
      <c r="E88" s="363"/>
      <c r="F88" s="363"/>
    </row>
    <row r="89" spans="1:11">
      <c r="A89" s="363" t="s">
        <v>2663</v>
      </c>
      <c r="B89" s="363"/>
      <c r="C89" s="363"/>
      <c r="D89" s="363"/>
      <c r="E89" s="363"/>
      <c r="F89" s="363"/>
    </row>
    <row r="90" spans="1:11">
      <c r="A90" s="363" t="s">
        <v>2664</v>
      </c>
      <c r="B90" s="363"/>
      <c r="C90" s="363"/>
      <c r="D90" s="363"/>
      <c r="E90" s="363"/>
      <c r="F90" s="363"/>
    </row>
  </sheetData>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13ACC-AD17-439E-BFD6-C2FA2013748A}">
  <dimension ref="A1:V118"/>
  <sheetViews>
    <sheetView topLeftCell="A66" workbookViewId="0">
      <selection activeCell="T109" sqref="T109"/>
    </sheetView>
  </sheetViews>
  <sheetFormatPr defaultRowHeight="14.5"/>
  <cols>
    <col min="2" max="2" width="6.36328125" bestFit="1" customWidth="1"/>
    <col min="3" max="3" width="10" bestFit="1" customWidth="1"/>
    <col min="4" max="4" width="16.7265625" bestFit="1" customWidth="1"/>
    <col min="7" max="7" width="14.54296875" customWidth="1"/>
    <col min="13" max="13" width="14.1796875" bestFit="1" customWidth="1"/>
  </cols>
  <sheetData>
    <row r="1" spans="1:8">
      <c r="A1" t="s">
        <v>2422</v>
      </c>
    </row>
    <row r="2" spans="1:8" ht="18">
      <c r="A2" s="477" t="s">
        <v>2423</v>
      </c>
      <c r="B2" s="468"/>
      <c r="C2" s="468"/>
      <c r="D2" s="468"/>
      <c r="E2" s="468"/>
      <c r="F2" s="468"/>
      <c r="G2" s="468"/>
      <c r="H2" s="468"/>
    </row>
    <row r="4" spans="1:8">
      <c r="A4" s="332" t="s">
        <v>2424</v>
      </c>
      <c r="B4" s="478">
        <v>44818</v>
      </c>
      <c r="C4" s="479"/>
      <c r="E4" s="480" t="s">
        <v>2425</v>
      </c>
      <c r="F4" s="481"/>
      <c r="G4" s="481"/>
      <c r="H4" s="479"/>
    </row>
    <row r="5" spans="1:8">
      <c r="A5" s="333" t="s">
        <v>2426</v>
      </c>
      <c r="B5" s="482">
        <v>44816</v>
      </c>
      <c r="C5" s="483"/>
      <c r="E5" s="484" t="s">
        <v>2427</v>
      </c>
      <c r="F5" s="468"/>
      <c r="G5" s="468"/>
      <c r="H5" s="483"/>
    </row>
    <row r="6" spans="1:8">
      <c r="A6" s="333" t="s">
        <v>2428</v>
      </c>
      <c r="B6" s="482">
        <v>44818</v>
      </c>
      <c r="C6" s="483"/>
      <c r="E6" s="484" t="s">
        <v>2429</v>
      </c>
      <c r="F6" s="468"/>
      <c r="G6" s="468"/>
      <c r="H6" s="483"/>
    </row>
    <row r="7" spans="1:8">
      <c r="A7" s="334" t="s">
        <v>2430</v>
      </c>
      <c r="B7" s="485">
        <v>44999</v>
      </c>
      <c r="C7" s="486"/>
      <c r="E7" s="487" t="s">
        <v>2431</v>
      </c>
      <c r="F7" s="488"/>
      <c r="G7" s="488"/>
      <c r="H7" s="486"/>
    </row>
    <row r="9" spans="1:8">
      <c r="A9" s="335" t="s">
        <v>2432</v>
      </c>
      <c r="B9" s="489" t="s">
        <v>2433</v>
      </c>
      <c r="C9" s="490"/>
      <c r="D9" s="491"/>
      <c r="F9" s="336" t="s">
        <v>2434</v>
      </c>
    </row>
    <row r="10" spans="1:8">
      <c r="B10" s="467" t="s">
        <v>2435</v>
      </c>
      <c r="C10" s="468"/>
      <c r="D10" s="469"/>
      <c r="F10" s="492" t="s">
        <v>2436</v>
      </c>
      <c r="G10" s="468"/>
      <c r="H10">
        <v>88</v>
      </c>
    </row>
    <row r="11" spans="1:8">
      <c r="B11" s="467"/>
      <c r="C11" s="468"/>
      <c r="D11" s="469"/>
      <c r="F11" s="476" t="s">
        <v>2437</v>
      </c>
      <c r="G11" s="468"/>
      <c r="H11" s="468"/>
    </row>
    <row r="12" spans="1:8">
      <c r="B12" s="467"/>
      <c r="C12" s="468"/>
      <c r="D12" s="469"/>
    </row>
    <row r="13" spans="1:8">
      <c r="B13" s="467" t="s">
        <v>2438</v>
      </c>
      <c r="C13" s="468"/>
      <c r="D13" s="469"/>
    </row>
    <row r="14" spans="1:8">
      <c r="B14" s="470" t="s">
        <v>2439</v>
      </c>
      <c r="C14" s="471"/>
      <c r="D14" s="472"/>
    </row>
    <row r="18" spans="1:22">
      <c r="A18" s="335" t="s">
        <v>2440</v>
      </c>
      <c r="B18" s="473" t="s">
        <v>2441</v>
      </c>
      <c r="C18" s="474"/>
      <c r="D18" s="474"/>
      <c r="E18" s="474"/>
      <c r="F18" s="474"/>
      <c r="G18" s="474"/>
    </row>
    <row r="19" spans="1:22">
      <c r="B19" s="474"/>
      <c r="C19" s="474"/>
      <c r="D19" s="474"/>
      <c r="E19" s="474"/>
      <c r="F19" s="474"/>
      <c r="G19" s="474"/>
    </row>
    <row r="20" spans="1:22">
      <c r="B20" s="474"/>
      <c r="C20" s="474"/>
      <c r="D20" s="474"/>
      <c r="E20" s="474"/>
      <c r="F20" s="474"/>
      <c r="G20" s="474"/>
    </row>
    <row r="21" spans="1:22">
      <c r="B21" s="474"/>
      <c r="C21" s="474"/>
      <c r="D21" s="474"/>
      <c r="E21" s="474"/>
      <c r="F21" s="474"/>
      <c r="G21" s="474"/>
    </row>
    <row r="22" spans="1:22">
      <c r="B22" s="474"/>
      <c r="C22" s="474"/>
      <c r="D22" s="474"/>
      <c r="E22" s="474"/>
      <c r="F22" s="474"/>
      <c r="G22" s="474"/>
    </row>
    <row r="24" spans="1:22">
      <c r="B24" s="475" t="s">
        <v>2442</v>
      </c>
      <c r="C24" s="468"/>
      <c r="D24" s="468"/>
      <c r="E24" s="468"/>
      <c r="F24" s="468"/>
      <c r="G24" s="468"/>
    </row>
    <row r="25" spans="1:22">
      <c r="B25" s="468"/>
      <c r="C25" s="468"/>
      <c r="D25" s="468"/>
      <c r="E25" s="468"/>
      <c r="F25" s="468"/>
      <c r="G25" s="468"/>
    </row>
    <row r="27" spans="1:22">
      <c r="B27" s="87"/>
      <c r="C27" s="343"/>
      <c r="D27" s="343"/>
      <c r="E27" s="343"/>
      <c r="F27" s="343"/>
      <c r="G27" s="343"/>
    </row>
    <row r="28" spans="1:22" ht="15.5">
      <c r="B28" s="343"/>
      <c r="C28" s="343"/>
      <c r="D28" s="343"/>
      <c r="E28" s="343"/>
      <c r="F28" s="343"/>
      <c r="G28" s="343"/>
      <c r="N28" s="1" t="s">
        <v>2443</v>
      </c>
      <c r="O28" s="1"/>
      <c r="P28" s="1"/>
      <c r="Q28" s="337" t="s">
        <v>2444</v>
      </c>
      <c r="R28" s="39"/>
      <c r="S28" s="39"/>
      <c r="T28" s="338">
        <f>AVERAGE(E42,E82,E95,E115)</f>
        <v>0.70000000000000007</v>
      </c>
      <c r="U28" s="339" t="s">
        <v>2445</v>
      </c>
      <c r="V28" s="339" t="s">
        <v>2446</v>
      </c>
    </row>
    <row r="29" spans="1:22" ht="104.5">
      <c r="A29" s="87" t="s">
        <v>2486</v>
      </c>
      <c r="N29" s="1" t="s">
        <v>2447</v>
      </c>
      <c r="O29" s="1" t="s">
        <v>2448</v>
      </c>
      <c r="P29" s="340" t="s">
        <v>2449</v>
      </c>
      <c r="Q29" s="341"/>
      <c r="T29" s="271"/>
      <c r="U29" s="270"/>
      <c r="V29" s="270"/>
    </row>
    <row r="30" spans="1:22" ht="104.5">
      <c r="A30" s="1" t="s">
        <v>2450</v>
      </c>
      <c r="B30" s="1" t="s">
        <v>2451</v>
      </c>
      <c r="C30" s="1" t="s">
        <v>2452</v>
      </c>
      <c r="D30" s="1" t="s">
        <v>2453</v>
      </c>
      <c r="E30" s="1" t="s">
        <v>2454</v>
      </c>
      <c r="G30" t="s">
        <v>2455</v>
      </c>
      <c r="H30" t="s">
        <v>2456</v>
      </c>
      <c r="I30" t="s">
        <v>183</v>
      </c>
      <c r="J30" t="s">
        <v>184</v>
      </c>
      <c r="K30" t="s">
        <v>185</v>
      </c>
      <c r="L30" t="s">
        <v>2243</v>
      </c>
      <c r="M30" s="125"/>
      <c r="N30" s="340" t="s">
        <v>2457</v>
      </c>
      <c r="O30" s="1" t="s">
        <v>2458</v>
      </c>
      <c r="P30" s="1" t="s">
        <v>2458</v>
      </c>
      <c r="Q30" s="1" t="s">
        <v>2459</v>
      </c>
      <c r="R30" s="1" t="s">
        <v>2460</v>
      </c>
      <c r="S30" s="342" t="s">
        <v>2461</v>
      </c>
      <c r="T30" s="342" t="s">
        <v>2462</v>
      </c>
      <c r="U30" s="48" t="s">
        <v>2463</v>
      </c>
      <c r="V30" s="48"/>
    </row>
    <row r="31" spans="1:22">
      <c r="A31">
        <v>24066</v>
      </c>
      <c r="B31" t="s">
        <v>43</v>
      </c>
      <c r="C31">
        <v>1</v>
      </c>
      <c r="D31" t="s">
        <v>2464</v>
      </c>
      <c r="E31">
        <v>267.8</v>
      </c>
      <c r="G31" s="344">
        <v>44816</v>
      </c>
      <c r="H31" s="345">
        <v>1</v>
      </c>
      <c r="I31" s="345">
        <v>2021</v>
      </c>
      <c r="J31" s="345" t="s">
        <v>43</v>
      </c>
      <c r="K31" s="345">
        <v>1</v>
      </c>
      <c r="L31" s="345">
        <v>3038.8</v>
      </c>
      <c r="N31" s="100">
        <f>E31-$T$28</f>
        <v>267.10000000000002</v>
      </c>
      <c r="O31">
        <f>(N31/1000)*10</f>
        <v>2.6710000000000003</v>
      </c>
      <c r="P31">
        <f>O31*(5/4)</f>
        <v>3.3387500000000001</v>
      </c>
      <c r="Q31">
        <f>P31*28.09</f>
        <v>93.785487500000002</v>
      </c>
      <c r="R31">
        <f>P31*(28.09+2*16)</f>
        <v>200.62548750000002</v>
      </c>
      <c r="S31" s="353">
        <f>(Q31/L31)*100</f>
        <v>3.0862671942872186</v>
      </c>
      <c r="T31" s="353">
        <f>(R31/L31)*100</f>
        <v>6.6021287185731206</v>
      </c>
    </row>
    <row r="32" spans="1:22">
      <c r="A32">
        <v>24067</v>
      </c>
      <c r="B32" t="s">
        <v>43</v>
      </c>
      <c r="C32">
        <v>2</v>
      </c>
      <c r="D32" t="s">
        <v>2464</v>
      </c>
      <c r="E32">
        <v>232.9</v>
      </c>
      <c r="G32" s="344">
        <v>44816</v>
      </c>
      <c r="H32" s="345">
        <v>2</v>
      </c>
      <c r="I32" s="345">
        <v>2021</v>
      </c>
      <c r="J32" s="345" t="s">
        <v>43</v>
      </c>
      <c r="K32" s="345">
        <v>2</v>
      </c>
      <c r="L32" s="345">
        <v>2557.1999999999998</v>
      </c>
      <c r="N32" s="100">
        <f t="shared" ref="N32:N95" si="0">E32-$T$28</f>
        <v>232.20000000000002</v>
      </c>
      <c r="O32">
        <f t="shared" ref="O32:O95" si="1">(N32/1000)*10</f>
        <v>2.3220000000000001</v>
      </c>
      <c r="P32">
        <f t="shared" ref="P32:P95" si="2">O32*(5/4)</f>
        <v>2.9024999999999999</v>
      </c>
      <c r="Q32">
        <f t="shared" ref="Q32:Q95" si="3">P32*28.09</f>
        <v>81.531224999999992</v>
      </c>
      <c r="R32">
        <f t="shared" ref="R32:R95" si="4">P32*(28.09+2*16)</f>
        <v>174.411225</v>
      </c>
      <c r="S32" s="353">
        <f t="shared" ref="S32:S95" si="5">(Q32/L32)*100</f>
        <v>3.1883006804317224</v>
      </c>
      <c r="T32" s="353">
        <f t="shared" ref="T32:T95" si="6">(R32/L32)*100</f>
        <v>6.8203982871891142</v>
      </c>
    </row>
    <row r="33" spans="1:21">
      <c r="A33">
        <v>24068</v>
      </c>
      <c r="B33" t="s">
        <v>43</v>
      </c>
      <c r="C33">
        <v>3</v>
      </c>
      <c r="D33" t="s">
        <v>2464</v>
      </c>
      <c r="E33">
        <v>294.5</v>
      </c>
      <c r="G33" s="362">
        <v>44816</v>
      </c>
      <c r="H33" s="358">
        <v>3</v>
      </c>
      <c r="I33" s="358">
        <v>2021</v>
      </c>
      <c r="J33" s="358" t="s">
        <v>43</v>
      </c>
      <c r="K33" s="358" t="s">
        <v>2245</v>
      </c>
      <c r="L33" s="358">
        <v>2623.7</v>
      </c>
      <c r="M33" s="359"/>
      <c r="N33" s="360">
        <f t="shared" si="0"/>
        <v>293.8</v>
      </c>
      <c r="O33" s="359">
        <f t="shared" si="1"/>
        <v>2.9380000000000002</v>
      </c>
      <c r="P33" s="359">
        <f t="shared" si="2"/>
        <v>3.6725000000000003</v>
      </c>
      <c r="Q33" s="359">
        <f t="shared" si="3"/>
        <v>103.16052500000001</v>
      </c>
      <c r="R33" s="359">
        <f t="shared" si="4"/>
        <v>220.68052500000005</v>
      </c>
      <c r="S33" s="359">
        <f t="shared" si="5"/>
        <v>3.9318719746922288</v>
      </c>
      <c r="T33" s="359">
        <f t="shared" si="6"/>
        <v>8.4110426115790702</v>
      </c>
      <c r="U33" s="361">
        <f>(S33-S34)/AVERAGE(S33:S34)</f>
        <v>-1.8724141707116778E-2</v>
      </c>
    </row>
    <row r="34" spans="1:21">
      <c r="A34">
        <v>24069</v>
      </c>
      <c r="B34" t="s">
        <v>43</v>
      </c>
      <c r="C34">
        <v>4</v>
      </c>
      <c r="D34" t="s">
        <v>2464</v>
      </c>
      <c r="E34">
        <v>292.5</v>
      </c>
      <c r="G34" s="362">
        <v>44816</v>
      </c>
      <c r="H34" s="358">
        <v>4</v>
      </c>
      <c r="I34" s="358">
        <v>2021</v>
      </c>
      <c r="J34" s="358" t="s">
        <v>43</v>
      </c>
      <c r="K34" s="358" t="s">
        <v>2246</v>
      </c>
      <c r="L34" s="358">
        <v>2557.5</v>
      </c>
      <c r="M34" s="359"/>
      <c r="N34" s="360">
        <f t="shared" si="0"/>
        <v>291.8</v>
      </c>
      <c r="O34" s="359">
        <f t="shared" si="1"/>
        <v>2.9180000000000001</v>
      </c>
      <c r="P34" s="359">
        <f t="shared" si="2"/>
        <v>3.6475</v>
      </c>
      <c r="Q34" s="359">
        <f t="shared" si="3"/>
        <v>102.458275</v>
      </c>
      <c r="R34" s="359">
        <f t="shared" si="4"/>
        <v>219.17827500000001</v>
      </c>
      <c r="S34" s="359">
        <f t="shared" si="5"/>
        <v>4.0061886608015644</v>
      </c>
      <c r="T34" s="359">
        <f t="shared" si="6"/>
        <v>8.5700205278592385</v>
      </c>
      <c r="U34" s="359"/>
    </row>
    <row r="35" spans="1:21">
      <c r="A35">
        <v>24070</v>
      </c>
      <c r="B35" t="s">
        <v>43</v>
      </c>
      <c r="C35" t="s">
        <v>2465</v>
      </c>
      <c r="D35" t="s">
        <v>2464</v>
      </c>
      <c r="E35">
        <v>426.5</v>
      </c>
      <c r="G35" s="349">
        <v>44816</v>
      </c>
      <c r="H35" s="351">
        <v>5</v>
      </c>
      <c r="I35" s="350">
        <v>2021</v>
      </c>
      <c r="J35" s="350" t="s">
        <v>43</v>
      </c>
      <c r="K35" s="350">
        <v>4</v>
      </c>
      <c r="L35" s="350">
        <v>3404.2</v>
      </c>
      <c r="M35" s="129"/>
      <c r="N35" s="354">
        <f t="shared" si="0"/>
        <v>425.8</v>
      </c>
      <c r="O35" s="129">
        <f t="shared" si="1"/>
        <v>4.258</v>
      </c>
      <c r="P35" s="129">
        <f t="shared" si="2"/>
        <v>5.3224999999999998</v>
      </c>
      <c r="Q35" s="129">
        <f t="shared" si="3"/>
        <v>149.50902499999998</v>
      </c>
      <c r="R35" s="129">
        <f t="shared" si="4"/>
        <v>319.829025</v>
      </c>
      <c r="S35" s="129">
        <f t="shared" si="5"/>
        <v>4.3918989777333879</v>
      </c>
      <c r="T35" s="129">
        <f t="shared" si="6"/>
        <v>9.3951302802420553</v>
      </c>
      <c r="U35" s="355">
        <f>(S35-S36)/AVERAGE(S35:S36)</f>
        <v>1.1749500646221558E-3</v>
      </c>
    </row>
    <row r="36" spans="1:21">
      <c r="A36">
        <v>24071</v>
      </c>
      <c r="B36" t="s">
        <v>43</v>
      </c>
      <c r="C36" t="s">
        <v>2466</v>
      </c>
      <c r="D36" t="s">
        <v>2464</v>
      </c>
      <c r="E36">
        <v>426</v>
      </c>
      <c r="G36" s="349">
        <v>44816</v>
      </c>
      <c r="H36" s="351">
        <v>5</v>
      </c>
      <c r="I36" s="350">
        <v>2021</v>
      </c>
      <c r="J36" s="350" t="s">
        <v>43</v>
      </c>
      <c r="K36" s="350">
        <v>4</v>
      </c>
      <c r="L36" s="350">
        <v>3404.2</v>
      </c>
      <c r="M36" s="356" t="s">
        <v>2491</v>
      </c>
      <c r="N36" s="354">
        <f t="shared" si="0"/>
        <v>425.3</v>
      </c>
      <c r="O36" s="129">
        <f t="shared" si="1"/>
        <v>4.2530000000000001</v>
      </c>
      <c r="P36" s="129">
        <f t="shared" si="2"/>
        <v>5.3162500000000001</v>
      </c>
      <c r="Q36" s="129">
        <f t="shared" si="3"/>
        <v>149.3334625</v>
      </c>
      <c r="R36" s="129">
        <f t="shared" si="4"/>
        <v>319.4534625</v>
      </c>
      <c r="S36" s="129">
        <f t="shared" si="5"/>
        <v>4.3867417454908644</v>
      </c>
      <c r="T36" s="129">
        <f t="shared" si="6"/>
        <v>9.3840979525292294</v>
      </c>
      <c r="U36" s="129"/>
    </row>
    <row r="37" spans="1:21">
      <c r="A37">
        <v>24072</v>
      </c>
      <c r="B37" t="s">
        <v>43</v>
      </c>
      <c r="C37">
        <v>6</v>
      </c>
      <c r="D37" t="s">
        <v>2464</v>
      </c>
      <c r="E37">
        <v>290</v>
      </c>
      <c r="G37" s="344">
        <v>44816</v>
      </c>
      <c r="H37" s="345">
        <v>6</v>
      </c>
      <c r="I37" s="345">
        <v>2021</v>
      </c>
      <c r="J37" s="345" t="s">
        <v>43</v>
      </c>
      <c r="K37" s="345">
        <v>5</v>
      </c>
      <c r="L37" s="345">
        <v>2436.9</v>
      </c>
      <c r="N37" s="100">
        <f t="shared" si="0"/>
        <v>289.3</v>
      </c>
      <c r="O37">
        <f t="shared" si="1"/>
        <v>2.8929999999999998</v>
      </c>
      <c r="P37">
        <f t="shared" si="2"/>
        <v>3.61625</v>
      </c>
      <c r="Q37">
        <f t="shared" si="3"/>
        <v>101.5804625</v>
      </c>
      <c r="R37">
        <f t="shared" si="4"/>
        <v>217.30046250000001</v>
      </c>
      <c r="S37" s="353">
        <f t="shared" si="5"/>
        <v>4.168429664737987</v>
      </c>
      <c r="T37" s="353">
        <f t="shared" si="6"/>
        <v>8.9170857441831846</v>
      </c>
    </row>
    <row r="38" spans="1:21">
      <c r="A38">
        <v>24073</v>
      </c>
      <c r="B38" t="s">
        <v>43</v>
      </c>
      <c r="C38">
        <v>7</v>
      </c>
      <c r="D38" t="s">
        <v>2464</v>
      </c>
      <c r="E38">
        <v>259.39999999999998</v>
      </c>
      <c r="G38" s="344">
        <v>44816</v>
      </c>
      <c r="H38" s="345">
        <v>7</v>
      </c>
      <c r="I38" s="345">
        <v>2021</v>
      </c>
      <c r="J38" s="345" t="s">
        <v>43</v>
      </c>
      <c r="K38" s="345">
        <v>6</v>
      </c>
      <c r="L38" s="345">
        <v>2418.1</v>
      </c>
      <c r="N38" s="100">
        <f t="shared" si="0"/>
        <v>258.7</v>
      </c>
      <c r="O38">
        <f t="shared" si="1"/>
        <v>2.5869999999999997</v>
      </c>
      <c r="P38">
        <f t="shared" si="2"/>
        <v>3.2337499999999997</v>
      </c>
      <c r="Q38">
        <f t="shared" si="3"/>
        <v>90.836037499999989</v>
      </c>
      <c r="R38">
        <f t="shared" si="4"/>
        <v>194.31603749999999</v>
      </c>
      <c r="S38" s="353">
        <f t="shared" si="5"/>
        <v>3.7565045903808771</v>
      </c>
      <c r="T38" s="353">
        <f t="shared" si="6"/>
        <v>8.0358975021711263</v>
      </c>
    </row>
    <row r="39" spans="1:21">
      <c r="A39">
        <v>24074</v>
      </c>
      <c r="B39" t="s">
        <v>43</v>
      </c>
      <c r="C39">
        <v>8</v>
      </c>
      <c r="D39" t="s">
        <v>2464</v>
      </c>
      <c r="E39">
        <v>304.39999999999998</v>
      </c>
      <c r="G39" s="344">
        <v>44816</v>
      </c>
      <c r="H39" s="345">
        <v>8</v>
      </c>
      <c r="I39" s="345">
        <v>2021</v>
      </c>
      <c r="J39" s="345" t="s">
        <v>43</v>
      </c>
      <c r="K39" s="345">
        <v>7</v>
      </c>
      <c r="L39" s="345">
        <v>2581.1999999999998</v>
      </c>
      <c r="N39" s="100">
        <f t="shared" si="0"/>
        <v>303.7</v>
      </c>
      <c r="O39">
        <f t="shared" si="1"/>
        <v>3.0369999999999999</v>
      </c>
      <c r="P39">
        <f t="shared" si="2"/>
        <v>3.7962499999999997</v>
      </c>
      <c r="Q39">
        <f t="shared" si="3"/>
        <v>106.63666249999999</v>
      </c>
      <c r="R39">
        <f t="shared" si="4"/>
        <v>228.11666249999999</v>
      </c>
      <c r="S39" s="353">
        <f t="shared" si="5"/>
        <v>4.1312824461490774</v>
      </c>
      <c r="T39" s="353">
        <f t="shared" si="6"/>
        <v>8.8376205834495583</v>
      </c>
    </row>
    <row r="40" spans="1:21">
      <c r="A40">
        <v>24075</v>
      </c>
      <c r="B40" t="s">
        <v>43</v>
      </c>
      <c r="C40">
        <v>9</v>
      </c>
      <c r="D40" t="s">
        <v>2464</v>
      </c>
      <c r="E40">
        <v>376.1</v>
      </c>
      <c r="G40" s="344">
        <v>44816</v>
      </c>
      <c r="H40" s="345">
        <v>9</v>
      </c>
      <c r="I40" s="345">
        <v>2021</v>
      </c>
      <c r="J40" s="345" t="s">
        <v>43</v>
      </c>
      <c r="K40" s="345">
        <v>8</v>
      </c>
      <c r="L40" s="345">
        <v>2840.7</v>
      </c>
      <c r="N40" s="100">
        <f t="shared" si="0"/>
        <v>375.40000000000003</v>
      </c>
      <c r="O40">
        <f t="shared" si="1"/>
        <v>3.754</v>
      </c>
      <c r="P40">
        <f t="shared" si="2"/>
        <v>4.6924999999999999</v>
      </c>
      <c r="Q40">
        <f t="shared" si="3"/>
        <v>131.81232499999999</v>
      </c>
      <c r="R40">
        <f t="shared" si="4"/>
        <v>281.97232500000001</v>
      </c>
      <c r="S40" s="353">
        <f t="shared" si="5"/>
        <v>4.6401353539620516</v>
      </c>
      <c r="T40" s="353">
        <f t="shared" si="6"/>
        <v>9.9261564051114171</v>
      </c>
    </row>
    <row r="41" spans="1:21">
      <c r="A41">
        <v>24076</v>
      </c>
      <c r="B41" t="s">
        <v>43</v>
      </c>
      <c r="C41">
        <v>10</v>
      </c>
      <c r="D41" t="s">
        <v>2464</v>
      </c>
      <c r="E41">
        <v>312.8</v>
      </c>
      <c r="G41" s="344">
        <v>44816</v>
      </c>
      <c r="H41" s="345">
        <v>10</v>
      </c>
      <c r="I41" s="345">
        <v>2021</v>
      </c>
      <c r="J41" s="345" t="s">
        <v>43</v>
      </c>
      <c r="K41" s="345">
        <v>9</v>
      </c>
      <c r="L41" s="345">
        <v>2446.8000000000002</v>
      </c>
      <c r="N41" s="100">
        <f t="shared" si="0"/>
        <v>312.10000000000002</v>
      </c>
      <c r="O41">
        <f t="shared" si="1"/>
        <v>3.1210000000000004</v>
      </c>
      <c r="P41">
        <f t="shared" si="2"/>
        <v>3.9012500000000006</v>
      </c>
      <c r="Q41">
        <f t="shared" si="3"/>
        <v>109.58611250000001</v>
      </c>
      <c r="R41">
        <f t="shared" si="4"/>
        <v>234.42611250000004</v>
      </c>
      <c r="S41" s="353">
        <f t="shared" si="5"/>
        <v>4.4787523500081745</v>
      </c>
      <c r="T41" s="353">
        <f t="shared" si="6"/>
        <v>9.5809266184404134</v>
      </c>
    </row>
    <row r="42" spans="1:21" s="371" customFormat="1">
      <c r="A42" s="371">
        <v>24077</v>
      </c>
      <c r="B42" s="371" t="s">
        <v>2292</v>
      </c>
      <c r="C42" s="371">
        <v>11</v>
      </c>
      <c r="D42" s="371" t="s">
        <v>2464</v>
      </c>
      <c r="E42" s="371">
        <v>0.6</v>
      </c>
      <c r="G42" s="372">
        <v>44816</v>
      </c>
      <c r="H42" s="373">
        <v>11</v>
      </c>
      <c r="I42" s="373"/>
      <c r="J42" s="373" t="s">
        <v>2292</v>
      </c>
      <c r="K42" s="373"/>
      <c r="L42" s="373"/>
      <c r="N42" s="374">
        <f t="shared" si="0"/>
        <v>-0.10000000000000009</v>
      </c>
      <c r="O42" s="371">
        <f t="shared" si="1"/>
        <v>-1.0000000000000009E-3</v>
      </c>
      <c r="P42" s="371">
        <f t="shared" si="2"/>
        <v>-1.2500000000000011E-3</v>
      </c>
      <c r="Q42" s="371">
        <f t="shared" si="3"/>
        <v>-3.5112500000000033E-2</v>
      </c>
      <c r="R42" s="371">
        <f t="shared" si="4"/>
        <v>-7.5112500000000068E-2</v>
      </c>
      <c r="S42" s="371" t="e">
        <f t="shared" si="5"/>
        <v>#DIV/0!</v>
      </c>
      <c r="T42" s="371" t="e">
        <f t="shared" si="6"/>
        <v>#DIV/0!</v>
      </c>
    </row>
    <row r="43" spans="1:21" s="39" customFormat="1" ht="15" thickBot="1">
      <c r="A43" s="39">
        <v>24078</v>
      </c>
      <c r="B43" s="39" t="s">
        <v>2467</v>
      </c>
      <c r="C43" s="39" t="s">
        <v>2468</v>
      </c>
      <c r="D43" s="39" t="s">
        <v>2464</v>
      </c>
      <c r="E43" s="39">
        <v>344.1</v>
      </c>
      <c r="G43" s="364">
        <v>44816</v>
      </c>
      <c r="H43" s="368">
        <v>12</v>
      </c>
      <c r="I43" s="368" t="s">
        <v>2487</v>
      </c>
      <c r="J43" s="369" t="s">
        <v>2467</v>
      </c>
      <c r="K43" s="368">
        <v>1</v>
      </c>
      <c r="L43" s="368">
        <v>2836.6</v>
      </c>
      <c r="N43" s="367">
        <f t="shared" si="0"/>
        <v>343.40000000000003</v>
      </c>
      <c r="O43" s="39">
        <f t="shared" si="1"/>
        <v>3.4340000000000002</v>
      </c>
      <c r="P43" s="39">
        <f t="shared" si="2"/>
        <v>4.2925000000000004</v>
      </c>
      <c r="Q43" s="39">
        <f t="shared" si="3"/>
        <v>120.57632500000001</v>
      </c>
      <c r="R43" s="39">
        <f t="shared" si="4"/>
        <v>257.93632500000007</v>
      </c>
      <c r="S43" s="39">
        <f t="shared" si="5"/>
        <v>4.2507341535641263</v>
      </c>
      <c r="T43" s="39">
        <f t="shared" si="6"/>
        <v>9.0931511316364695</v>
      </c>
      <c r="U43" s="370">
        <f>(S43-S44)/AVERAGE(S43:S44)</f>
        <v>8.7399854333565746E-4</v>
      </c>
    </row>
    <row r="44" spans="1:21" s="39" customFormat="1" ht="15.5" thickTop="1" thickBot="1">
      <c r="A44" s="39">
        <v>24079</v>
      </c>
      <c r="B44" s="39" t="s">
        <v>2467</v>
      </c>
      <c r="C44" s="39" t="s">
        <v>2469</v>
      </c>
      <c r="D44" s="39" t="s">
        <v>2464</v>
      </c>
      <c r="E44" s="39">
        <v>343.8</v>
      </c>
      <c r="G44" s="364">
        <v>44816</v>
      </c>
      <c r="H44" s="368">
        <v>12</v>
      </c>
      <c r="I44" s="368" t="s">
        <v>2487</v>
      </c>
      <c r="J44" s="369" t="s">
        <v>2467</v>
      </c>
      <c r="K44" s="368">
        <v>1</v>
      </c>
      <c r="L44" s="368">
        <v>2836.6</v>
      </c>
      <c r="M44" s="183" t="s">
        <v>2491</v>
      </c>
      <c r="N44" s="367">
        <f t="shared" si="0"/>
        <v>343.1</v>
      </c>
      <c r="O44" s="39">
        <f t="shared" si="1"/>
        <v>3.431</v>
      </c>
      <c r="P44" s="39">
        <f t="shared" si="2"/>
        <v>4.2887500000000003</v>
      </c>
      <c r="Q44" s="39">
        <f t="shared" si="3"/>
        <v>120.47098750000001</v>
      </c>
      <c r="R44" s="39">
        <f t="shared" si="4"/>
        <v>257.71098750000004</v>
      </c>
      <c r="S44" s="39">
        <f t="shared" si="5"/>
        <v>4.2470206409081301</v>
      </c>
      <c r="T44" s="39">
        <f t="shared" si="6"/>
        <v>9.0852072022844279</v>
      </c>
    </row>
    <row r="45" spans="1:21" ht="15" thickTop="1">
      <c r="A45">
        <v>24080</v>
      </c>
      <c r="B45" t="s">
        <v>43</v>
      </c>
      <c r="C45">
        <v>13</v>
      </c>
      <c r="D45" t="s">
        <v>2464</v>
      </c>
      <c r="E45">
        <v>261.3</v>
      </c>
      <c r="G45" s="344">
        <v>44816</v>
      </c>
      <c r="H45" s="347">
        <v>13</v>
      </c>
      <c r="I45" s="345">
        <v>2021</v>
      </c>
      <c r="J45" s="347" t="s">
        <v>43</v>
      </c>
      <c r="K45" s="347">
        <v>10</v>
      </c>
      <c r="L45" s="347">
        <v>2063.1999999999998</v>
      </c>
      <c r="N45" s="100">
        <f t="shared" si="0"/>
        <v>260.60000000000002</v>
      </c>
      <c r="O45">
        <f t="shared" si="1"/>
        <v>2.6059999999999999</v>
      </c>
      <c r="P45">
        <f t="shared" si="2"/>
        <v>3.2574999999999998</v>
      </c>
      <c r="Q45">
        <f t="shared" si="3"/>
        <v>91.503174999999999</v>
      </c>
      <c r="R45">
        <f t="shared" si="4"/>
        <v>195.74317500000001</v>
      </c>
      <c r="S45" s="353">
        <f t="shared" si="5"/>
        <v>4.4350123594416448</v>
      </c>
      <c r="T45" s="353">
        <f t="shared" si="6"/>
        <v>9.4873582299340846</v>
      </c>
    </row>
    <row r="46" spans="1:21">
      <c r="A46">
        <v>24081</v>
      </c>
      <c r="B46" t="s">
        <v>43</v>
      </c>
      <c r="C46">
        <v>14</v>
      </c>
      <c r="D46" t="s">
        <v>2464</v>
      </c>
      <c r="E46">
        <v>246.6</v>
      </c>
      <c r="G46" s="344">
        <v>44816</v>
      </c>
      <c r="H46" s="345">
        <v>14</v>
      </c>
      <c r="I46" s="345">
        <v>2021</v>
      </c>
      <c r="J46" s="345" t="s">
        <v>43</v>
      </c>
      <c r="K46" s="345">
        <v>11</v>
      </c>
      <c r="L46" s="345">
        <v>2138.1</v>
      </c>
      <c r="N46" s="100">
        <f t="shared" si="0"/>
        <v>245.9</v>
      </c>
      <c r="O46">
        <f t="shared" si="1"/>
        <v>2.4590000000000001</v>
      </c>
      <c r="P46">
        <f t="shared" si="2"/>
        <v>3.07375</v>
      </c>
      <c r="Q46">
        <f t="shared" si="3"/>
        <v>86.341637500000004</v>
      </c>
      <c r="R46">
        <f t="shared" si="4"/>
        <v>184.7016375</v>
      </c>
      <c r="S46" s="353">
        <f t="shared" si="5"/>
        <v>4.0382413123801513</v>
      </c>
      <c r="T46" s="353">
        <f t="shared" si="6"/>
        <v>8.6385874140592129</v>
      </c>
    </row>
    <row r="47" spans="1:21">
      <c r="A47">
        <v>24082</v>
      </c>
      <c r="B47" t="s">
        <v>43</v>
      </c>
      <c r="C47">
        <v>15</v>
      </c>
      <c r="D47" t="s">
        <v>2464</v>
      </c>
      <c r="E47">
        <v>324.3</v>
      </c>
      <c r="G47" s="344">
        <v>44816</v>
      </c>
      <c r="H47" s="345">
        <v>15</v>
      </c>
      <c r="I47" s="345">
        <v>2021</v>
      </c>
      <c r="J47" s="345" t="s">
        <v>43</v>
      </c>
      <c r="K47" s="345">
        <v>12</v>
      </c>
      <c r="L47" s="345">
        <v>2769.5</v>
      </c>
      <c r="N47" s="100">
        <f t="shared" si="0"/>
        <v>323.60000000000002</v>
      </c>
      <c r="O47">
        <f t="shared" si="1"/>
        <v>3.2359999999999998</v>
      </c>
      <c r="P47">
        <f t="shared" si="2"/>
        <v>4.0449999999999999</v>
      </c>
      <c r="Q47">
        <f t="shared" si="3"/>
        <v>113.62405</v>
      </c>
      <c r="R47">
        <f t="shared" si="4"/>
        <v>243.06405000000001</v>
      </c>
      <c r="S47" s="353">
        <f t="shared" si="5"/>
        <v>4.1026918216284525</v>
      </c>
      <c r="T47" s="353">
        <f t="shared" si="6"/>
        <v>8.7764596497562746</v>
      </c>
    </row>
    <row r="48" spans="1:21">
      <c r="A48">
        <v>24083</v>
      </c>
      <c r="B48" t="s">
        <v>43</v>
      </c>
      <c r="C48">
        <v>16</v>
      </c>
      <c r="D48" t="s">
        <v>2464</v>
      </c>
      <c r="E48">
        <v>303.2</v>
      </c>
      <c r="G48" s="344">
        <v>44816</v>
      </c>
      <c r="H48" s="345">
        <v>16</v>
      </c>
      <c r="I48" s="345">
        <v>2021</v>
      </c>
      <c r="J48" s="345" t="s">
        <v>43</v>
      </c>
      <c r="K48" s="345">
        <v>13</v>
      </c>
      <c r="L48" s="345">
        <v>2162.1999999999998</v>
      </c>
      <c r="N48" s="100">
        <f t="shared" si="0"/>
        <v>302.5</v>
      </c>
      <c r="O48">
        <f t="shared" si="1"/>
        <v>3.0249999999999999</v>
      </c>
      <c r="P48">
        <f t="shared" si="2"/>
        <v>3.78125</v>
      </c>
      <c r="Q48">
        <f t="shared" si="3"/>
        <v>106.2153125</v>
      </c>
      <c r="R48">
        <f t="shared" si="4"/>
        <v>227.21531250000001</v>
      </c>
      <c r="S48" s="353">
        <f t="shared" si="5"/>
        <v>4.9123722366108593</v>
      </c>
      <c r="T48" s="353">
        <f t="shared" si="6"/>
        <v>10.508524303949681</v>
      </c>
    </row>
    <row r="49" spans="1:21">
      <c r="A49">
        <v>24084</v>
      </c>
      <c r="B49" t="s">
        <v>43</v>
      </c>
      <c r="C49">
        <v>17</v>
      </c>
      <c r="D49" t="s">
        <v>2464</v>
      </c>
      <c r="E49">
        <v>591.79999999999995</v>
      </c>
      <c r="G49" s="344">
        <v>44816</v>
      </c>
      <c r="H49" s="345">
        <v>17</v>
      </c>
      <c r="I49" s="345">
        <v>2021</v>
      </c>
      <c r="J49" s="345" t="s">
        <v>43</v>
      </c>
      <c r="K49" s="345">
        <v>14</v>
      </c>
      <c r="L49" s="345">
        <v>2645.1</v>
      </c>
      <c r="N49" s="100">
        <f t="shared" si="0"/>
        <v>591.09999999999991</v>
      </c>
      <c r="O49">
        <f t="shared" si="1"/>
        <v>5.9109999999999996</v>
      </c>
      <c r="P49">
        <f t="shared" si="2"/>
        <v>7.3887499999999999</v>
      </c>
      <c r="Q49">
        <f t="shared" si="3"/>
        <v>207.54998749999999</v>
      </c>
      <c r="R49">
        <f t="shared" si="4"/>
        <v>443.98998750000004</v>
      </c>
      <c r="S49" s="353">
        <f t="shared" si="5"/>
        <v>7.8465837775509435</v>
      </c>
      <c r="T49" s="353">
        <f t="shared" si="6"/>
        <v>16.785376261767045</v>
      </c>
    </row>
    <row r="50" spans="1:21">
      <c r="A50">
        <v>24085</v>
      </c>
      <c r="B50" t="s">
        <v>43</v>
      </c>
      <c r="C50">
        <v>18</v>
      </c>
      <c r="D50" t="s">
        <v>2464</v>
      </c>
      <c r="E50">
        <v>792.3</v>
      </c>
      <c r="G50" s="344">
        <v>44816</v>
      </c>
      <c r="H50" s="345">
        <v>18</v>
      </c>
      <c r="I50" s="345">
        <v>2021</v>
      </c>
      <c r="J50" s="345" t="s">
        <v>43</v>
      </c>
      <c r="K50" s="345">
        <v>15</v>
      </c>
      <c r="L50" s="345">
        <v>2475.1999999999998</v>
      </c>
      <c r="N50" s="100">
        <f t="shared" si="0"/>
        <v>791.59999999999991</v>
      </c>
      <c r="O50">
        <f t="shared" si="1"/>
        <v>7.9159999999999986</v>
      </c>
      <c r="P50">
        <f t="shared" si="2"/>
        <v>9.8949999999999978</v>
      </c>
      <c r="Q50">
        <f t="shared" si="3"/>
        <v>277.95054999999996</v>
      </c>
      <c r="R50">
        <f t="shared" si="4"/>
        <v>594.59054999999989</v>
      </c>
      <c r="S50" s="353">
        <f t="shared" si="5"/>
        <v>11.229417824822235</v>
      </c>
      <c r="T50" s="353">
        <f t="shared" si="6"/>
        <v>24.021919440853264</v>
      </c>
    </row>
    <row r="51" spans="1:21">
      <c r="A51">
        <v>24086</v>
      </c>
      <c r="B51" t="s">
        <v>43</v>
      </c>
      <c r="C51">
        <v>19</v>
      </c>
      <c r="D51" t="s">
        <v>2464</v>
      </c>
      <c r="E51">
        <v>922.7</v>
      </c>
      <c r="G51" s="362">
        <v>44816</v>
      </c>
      <c r="H51" s="358">
        <v>19</v>
      </c>
      <c r="I51" s="358">
        <v>2021</v>
      </c>
      <c r="J51" s="358" t="s">
        <v>43</v>
      </c>
      <c r="K51" s="358" t="s">
        <v>2248</v>
      </c>
      <c r="L51" s="358">
        <v>2173.1999999999998</v>
      </c>
      <c r="M51" s="359"/>
      <c r="N51" s="360">
        <f t="shared" si="0"/>
        <v>922</v>
      </c>
      <c r="O51" s="359">
        <f t="shared" si="1"/>
        <v>9.2200000000000006</v>
      </c>
      <c r="P51" s="359">
        <f t="shared" si="2"/>
        <v>11.525</v>
      </c>
      <c r="Q51" s="359">
        <f t="shared" si="3"/>
        <v>323.73725000000002</v>
      </c>
      <c r="R51" s="359">
        <f t="shared" si="4"/>
        <v>692.53725000000009</v>
      </c>
      <c r="S51" s="359">
        <f t="shared" si="5"/>
        <v>14.896799650285294</v>
      </c>
      <c r="T51" s="359">
        <f t="shared" si="6"/>
        <v>31.867165930425184</v>
      </c>
      <c r="U51" s="361">
        <f>(S51-S52)/AVERAGE(S51:S52)</f>
        <v>-5.7043849803346969E-3</v>
      </c>
    </row>
    <row r="52" spans="1:21">
      <c r="A52">
        <v>24087</v>
      </c>
      <c r="B52" t="s">
        <v>43</v>
      </c>
      <c r="C52" t="s">
        <v>2470</v>
      </c>
      <c r="D52" t="s">
        <v>2464</v>
      </c>
      <c r="E52">
        <v>902.8</v>
      </c>
      <c r="G52" s="349">
        <v>44816</v>
      </c>
      <c r="H52" s="350">
        <v>20</v>
      </c>
      <c r="I52" s="350">
        <v>2021</v>
      </c>
      <c r="J52" s="350" t="s">
        <v>43</v>
      </c>
      <c r="K52" s="350" t="s">
        <v>2249</v>
      </c>
      <c r="L52" s="350">
        <v>2114.1999999999998</v>
      </c>
      <c r="M52" s="129"/>
      <c r="N52" s="354">
        <f t="shared" si="0"/>
        <v>902.09999999999991</v>
      </c>
      <c r="O52" s="129">
        <f t="shared" si="1"/>
        <v>9.020999999999999</v>
      </c>
      <c r="P52" s="129">
        <f t="shared" si="2"/>
        <v>11.276249999999999</v>
      </c>
      <c r="Q52" s="129">
        <f t="shared" si="3"/>
        <v>316.74986249999995</v>
      </c>
      <c r="R52" s="129">
        <f t="shared" si="4"/>
        <v>677.58986249999998</v>
      </c>
      <c r="S52" s="129">
        <f t="shared" si="5"/>
        <v>14.982019794721408</v>
      </c>
      <c r="T52" s="129">
        <f t="shared" si="6"/>
        <v>32.049468475073319</v>
      </c>
      <c r="U52" s="355">
        <f>(S52-S53)/AVERAGE(S52:S53)</f>
        <v>5.5580257892398665E-3</v>
      </c>
    </row>
    <row r="53" spans="1:21">
      <c r="A53">
        <v>24088</v>
      </c>
      <c r="B53" t="s">
        <v>43</v>
      </c>
      <c r="C53" t="s">
        <v>2471</v>
      </c>
      <c r="D53" t="s">
        <v>2464</v>
      </c>
      <c r="E53">
        <v>897.8</v>
      </c>
      <c r="G53" s="349">
        <v>44816</v>
      </c>
      <c r="H53" s="350">
        <v>20</v>
      </c>
      <c r="I53" s="350">
        <v>2021</v>
      </c>
      <c r="J53" s="350" t="s">
        <v>43</v>
      </c>
      <c r="K53" s="350" t="s">
        <v>2249</v>
      </c>
      <c r="L53" s="350">
        <v>2114.1999999999998</v>
      </c>
      <c r="M53" s="356" t="s">
        <v>2491</v>
      </c>
      <c r="N53" s="354">
        <f t="shared" si="0"/>
        <v>897.09999999999991</v>
      </c>
      <c r="O53" s="129">
        <f t="shared" si="1"/>
        <v>8.9709999999999983</v>
      </c>
      <c r="P53" s="129">
        <f t="shared" si="2"/>
        <v>11.213749999999997</v>
      </c>
      <c r="Q53" s="129">
        <f t="shared" si="3"/>
        <v>314.99423749999994</v>
      </c>
      <c r="R53" s="129">
        <f t="shared" si="4"/>
        <v>673.83423749999986</v>
      </c>
      <c r="S53" s="129">
        <f t="shared" si="5"/>
        <v>14.89898011068016</v>
      </c>
      <c r="T53" s="129">
        <f t="shared" si="6"/>
        <v>31.871830361365998</v>
      </c>
      <c r="U53" s="129"/>
    </row>
    <row r="54" spans="1:21">
      <c r="A54">
        <v>24089</v>
      </c>
      <c r="B54" t="s">
        <v>43</v>
      </c>
      <c r="C54">
        <v>21</v>
      </c>
      <c r="D54" t="s">
        <v>2464</v>
      </c>
      <c r="E54">
        <v>822.1</v>
      </c>
      <c r="G54" s="344">
        <v>44816</v>
      </c>
      <c r="H54" s="345">
        <v>21</v>
      </c>
      <c r="I54" s="345">
        <v>2021</v>
      </c>
      <c r="J54" s="345" t="s">
        <v>43</v>
      </c>
      <c r="K54" s="345">
        <v>17</v>
      </c>
      <c r="L54" s="345">
        <v>2602.3000000000002</v>
      </c>
      <c r="N54" s="100">
        <f t="shared" si="0"/>
        <v>821.4</v>
      </c>
      <c r="O54">
        <f t="shared" si="1"/>
        <v>8.2140000000000004</v>
      </c>
      <c r="P54">
        <f t="shared" si="2"/>
        <v>10.2675</v>
      </c>
      <c r="Q54">
        <f t="shared" si="3"/>
        <v>288.41407500000003</v>
      </c>
      <c r="R54">
        <f t="shared" si="4"/>
        <v>616.97407500000008</v>
      </c>
      <c r="S54" s="353">
        <f t="shared" si="5"/>
        <v>11.083044806517311</v>
      </c>
      <c r="T54" s="353">
        <f t="shared" si="6"/>
        <v>23.70879894708527</v>
      </c>
    </row>
    <row r="55" spans="1:21">
      <c r="A55">
        <v>24090</v>
      </c>
      <c r="B55" t="s">
        <v>43</v>
      </c>
      <c r="C55">
        <v>22</v>
      </c>
      <c r="D55" t="s">
        <v>2464</v>
      </c>
      <c r="E55">
        <v>477.2</v>
      </c>
      <c r="G55" s="344">
        <v>44816</v>
      </c>
      <c r="H55" s="345">
        <v>22</v>
      </c>
      <c r="I55" s="345">
        <v>2021</v>
      </c>
      <c r="J55" s="345" t="s">
        <v>43</v>
      </c>
      <c r="K55" s="345">
        <v>18</v>
      </c>
      <c r="L55" s="345">
        <v>2257.4</v>
      </c>
      <c r="N55" s="100">
        <f t="shared" si="0"/>
        <v>476.5</v>
      </c>
      <c r="O55">
        <f t="shared" si="1"/>
        <v>4.7649999999999997</v>
      </c>
      <c r="P55">
        <f t="shared" si="2"/>
        <v>5.9562499999999998</v>
      </c>
      <c r="Q55">
        <f t="shared" si="3"/>
        <v>167.31106249999999</v>
      </c>
      <c r="R55">
        <f t="shared" si="4"/>
        <v>357.91106250000001</v>
      </c>
      <c r="S55" s="353">
        <f t="shared" si="5"/>
        <v>7.4116710596261184</v>
      </c>
      <c r="T55" s="353">
        <f t="shared" si="6"/>
        <v>15.8550129573846</v>
      </c>
    </row>
    <row r="56" spans="1:21">
      <c r="A56">
        <v>24091</v>
      </c>
      <c r="B56" t="s">
        <v>43</v>
      </c>
      <c r="C56">
        <v>23</v>
      </c>
      <c r="D56" t="s">
        <v>2464</v>
      </c>
      <c r="E56">
        <v>553.5</v>
      </c>
      <c r="G56" s="344">
        <v>44816</v>
      </c>
      <c r="H56" s="345">
        <v>23</v>
      </c>
      <c r="I56" s="345">
        <v>2021</v>
      </c>
      <c r="J56" s="345" t="s">
        <v>43</v>
      </c>
      <c r="K56" s="345">
        <v>19</v>
      </c>
      <c r="L56" s="345">
        <v>2746.4</v>
      </c>
      <c r="N56" s="100">
        <f t="shared" si="0"/>
        <v>552.79999999999995</v>
      </c>
      <c r="O56">
        <f t="shared" si="1"/>
        <v>5.5279999999999996</v>
      </c>
      <c r="P56">
        <f t="shared" si="2"/>
        <v>6.9099999999999993</v>
      </c>
      <c r="Q56">
        <f t="shared" si="3"/>
        <v>194.10189999999997</v>
      </c>
      <c r="R56">
        <f t="shared" si="4"/>
        <v>415.22190000000001</v>
      </c>
      <c r="S56" s="353">
        <f t="shared" si="5"/>
        <v>7.067502912904164</v>
      </c>
      <c r="T56" s="353">
        <f t="shared" si="6"/>
        <v>15.118770026216138</v>
      </c>
    </row>
    <row r="57" spans="1:21" ht="15" thickBot="1">
      <c r="A57">
        <v>24092</v>
      </c>
      <c r="B57" t="s">
        <v>43</v>
      </c>
      <c r="C57">
        <v>24</v>
      </c>
      <c r="D57" t="s">
        <v>2464</v>
      </c>
      <c r="E57">
        <v>408.7</v>
      </c>
      <c r="G57" s="344">
        <v>44816</v>
      </c>
      <c r="H57" s="346">
        <v>24</v>
      </c>
      <c r="I57" s="345">
        <v>2021</v>
      </c>
      <c r="J57" s="346" t="s">
        <v>43</v>
      </c>
      <c r="K57" s="346">
        <v>20</v>
      </c>
      <c r="L57" s="346">
        <v>2296.6999999999998</v>
      </c>
      <c r="N57" s="100">
        <f t="shared" si="0"/>
        <v>408</v>
      </c>
      <c r="O57">
        <f t="shared" si="1"/>
        <v>4.08</v>
      </c>
      <c r="P57">
        <f t="shared" si="2"/>
        <v>5.0999999999999996</v>
      </c>
      <c r="Q57">
        <f t="shared" si="3"/>
        <v>143.25899999999999</v>
      </c>
      <c r="R57">
        <f t="shared" si="4"/>
        <v>306.459</v>
      </c>
      <c r="S57" s="353">
        <f t="shared" si="5"/>
        <v>6.2376017764618794</v>
      </c>
      <c r="T57" s="353">
        <f t="shared" si="6"/>
        <v>13.343449296817173</v>
      </c>
    </row>
    <row r="58" spans="1:21" ht="15" thickTop="1">
      <c r="A58">
        <v>24093</v>
      </c>
      <c r="B58" t="s">
        <v>43</v>
      </c>
      <c r="C58">
        <v>25</v>
      </c>
      <c r="D58" t="s">
        <v>2464</v>
      </c>
      <c r="E58">
        <v>318.89999999999998</v>
      </c>
      <c r="G58" s="344">
        <v>44816</v>
      </c>
      <c r="H58" s="347">
        <v>25</v>
      </c>
      <c r="I58" s="345">
        <v>2021</v>
      </c>
      <c r="J58" s="347" t="s">
        <v>43</v>
      </c>
      <c r="K58" s="347">
        <v>21</v>
      </c>
      <c r="L58" s="347">
        <v>2441.5</v>
      </c>
      <c r="N58" s="100">
        <f t="shared" si="0"/>
        <v>318.2</v>
      </c>
      <c r="O58">
        <f t="shared" si="1"/>
        <v>3.1819999999999999</v>
      </c>
      <c r="P58">
        <f t="shared" si="2"/>
        <v>3.9775</v>
      </c>
      <c r="Q58">
        <f t="shared" si="3"/>
        <v>111.727975</v>
      </c>
      <c r="R58">
        <f t="shared" si="4"/>
        <v>239.00797500000002</v>
      </c>
      <c r="S58" s="353">
        <f t="shared" si="5"/>
        <v>4.5762021298382143</v>
      </c>
      <c r="T58" s="353">
        <f t="shared" si="6"/>
        <v>9.7893907433954546</v>
      </c>
    </row>
    <row r="59" spans="1:21">
      <c r="A59">
        <v>24094</v>
      </c>
      <c r="B59" t="s">
        <v>46</v>
      </c>
      <c r="C59" t="s">
        <v>2472</v>
      </c>
      <c r="D59" t="s">
        <v>2464</v>
      </c>
      <c r="E59">
        <v>350.9</v>
      </c>
      <c r="G59" s="349">
        <v>44816</v>
      </c>
      <c r="H59" s="350">
        <v>26</v>
      </c>
      <c r="I59" s="350">
        <v>2021</v>
      </c>
      <c r="J59" s="350" t="s">
        <v>46</v>
      </c>
      <c r="K59" s="350" t="s">
        <v>2250</v>
      </c>
      <c r="L59" s="350">
        <v>2783.4</v>
      </c>
      <c r="M59" s="129"/>
      <c r="N59" s="354">
        <f t="shared" si="0"/>
        <v>350.2</v>
      </c>
      <c r="O59" s="129">
        <f t="shared" si="1"/>
        <v>3.5020000000000002</v>
      </c>
      <c r="P59" s="129">
        <f t="shared" si="2"/>
        <v>4.3775000000000004</v>
      </c>
      <c r="Q59" s="129">
        <f t="shared" si="3"/>
        <v>122.963975</v>
      </c>
      <c r="R59" s="129">
        <f t="shared" si="4"/>
        <v>263.04397500000005</v>
      </c>
      <c r="S59" s="129">
        <f t="shared" si="5"/>
        <v>4.4177615506215417</v>
      </c>
      <c r="T59" s="129">
        <f t="shared" si="6"/>
        <v>9.4504553783142935</v>
      </c>
      <c r="U59" s="355">
        <f>(S59-S60)/AVERAGE(S59:S60)</f>
        <v>-5.7093919497605062E-4</v>
      </c>
    </row>
    <row r="60" spans="1:21">
      <c r="A60">
        <v>24095</v>
      </c>
      <c r="B60" t="s">
        <v>46</v>
      </c>
      <c r="C60" t="s">
        <v>2473</v>
      </c>
      <c r="D60" t="s">
        <v>2464</v>
      </c>
      <c r="E60">
        <v>351.1</v>
      </c>
      <c r="G60" s="349">
        <v>44816</v>
      </c>
      <c r="H60" s="350">
        <v>26</v>
      </c>
      <c r="I60" s="350">
        <v>2021</v>
      </c>
      <c r="J60" s="350" t="s">
        <v>46</v>
      </c>
      <c r="K60" s="350" t="s">
        <v>2250</v>
      </c>
      <c r="L60" s="350">
        <v>2783.4</v>
      </c>
      <c r="M60" s="356" t="s">
        <v>2491</v>
      </c>
      <c r="N60" s="354">
        <f t="shared" si="0"/>
        <v>350.40000000000003</v>
      </c>
      <c r="O60" s="129">
        <f t="shared" si="1"/>
        <v>3.5040000000000004</v>
      </c>
      <c r="P60" s="129">
        <f t="shared" si="2"/>
        <v>4.3800000000000008</v>
      </c>
      <c r="Q60" s="129">
        <f t="shared" si="3"/>
        <v>123.03420000000003</v>
      </c>
      <c r="R60" s="129">
        <f t="shared" si="4"/>
        <v>263.19420000000008</v>
      </c>
      <c r="S60" s="129">
        <f t="shared" si="5"/>
        <v>4.4202845440827776</v>
      </c>
      <c r="T60" s="129">
        <f t="shared" si="6"/>
        <v>9.4558525544298355</v>
      </c>
      <c r="U60" s="129"/>
    </row>
    <row r="61" spans="1:21">
      <c r="A61">
        <v>24096</v>
      </c>
      <c r="B61" t="s">
        <v>46</v>
      </c>
      <c r="C61">
        <v>27</v>
      </c>
      <c r="D61" t="s">
        <v>2464</v>
      </c>
      <c r="E61">
        <v>354.7</v>
      </c>
      <c r="G61" s="362">
        <v>44816</v>
      </c>
      <c r="H61" s="358">
        <v>27</v>
      </c>
      <c r="I61" s="358">
        <v>2021</v>
      </c>
      <c r="J61" s="358" t="s">
        <v>46</v>
      </c>
      <c r="K61" s="358" t="s">
        <v>2251</v>
      </c>
      <c r="L61" s="358">
        <v>2892.4</v>
      </c>
      <c r="M61" s="359"/>
      <c r="N61" s="360">
        <f t="shared" si="0"/>
        <v>354</v>
      </c>
      <c r="O61" s="359">
        <f t="shared" si="1"/>
        <v>3.54</v>
      </c>
      <c r="P61" s="359">
        <f t="shared" si="2"/>
        <v>4.4249999999999998</v>
      </c>
      <c r="Q61" s="359">
        <f t="shared" si="3"/>
        <v>124.29825</v>
      </c>
      <c r="R61" s="359">
        <f t="shared" si="4"/>
        <v>265.89825000000002</v>
      </c>
      <c r="S61" s="359">
        <f t="shared" si="5"/>
        <v>4.2974087263172454</v>
      </c>
      <c r="T61" s="359">
        <f t="shared" si="6"/>
        <v>9.1929971649840976</v>
      </c>
      <c r="U61" s="361">
        <f>(S60-S61)/AVERAGE(S60:S61)</f>
        <v>2.8189984197481158E-2</v>
      </c>
    </row>
    <row r="62" spans="1:21">
      <c r="A62">
        <v>24097</v>
      </c>
      <c r="B62" t="s">
        <v>46</v>
      </c>
      <c r="C62">
        <v>28</v>
      </c>
      <c r="D62" t="s">
        <v>2464</v>
      </c>
      <c r="E62">
        <v>284.5</v>
      </c>
      <c r="G62" s="344">
        <v>44816</v>
      </c>
      <c r="H62" s="345">
        <v>28</v>
      </c>
      <c r="I62" s="345">
        <v>2021</v>
      </c>
      <c r="J62" s="345" t="s">
        <v>46</v>
      </c>
      <c r="K62" s="345">
        <v>2</v>
      </c>
      <c r="L62" s="345">
        <v>3062</v>
      </c>
      <c r="N62" s="100">
        <f t="shared" si="0"/>
        <v>283.8</v>
      </c>
      <c r="O62">
        <f t="shared" si="1"/>
        <v>2.8380000000000001</v>
      </c>
      <c r="P62">
        <f t="shared" si="2"/>
        <v>3.5475000000000003</v>
      </c>
      <c r="Q62">
        <f t="shared" si="3"/>
        <v>99.649275000000003</v>
      </c>
      <c r="R62">
        <f t="shared" si="4"/>
        <v>213.16927500000003</v>
      </c>
      <c r="S62" s="353">
        <f t="shared" si="5"/>
        <v>3.254385205747877</v>
      </c>
      <c r="T62" s="353">
        <f t="shared" si="6"/>
        <v>6.9617660026126726</v>
      </c>
    </row>
    <row r="63" spans="1:21">
      <c r="A63">
        <v>24098</v>
      </c>
      <c r="B63" t="s">
        <v>46</v>
      </c>
      <c r="C63">
        <v>29</v>
      </c>
      <c r="D63" t="s">
        <v>2464</v>
      </c>
      <c r="E63">
        <v>293.2</v>
      </c>
      <c r="G63" s="344">
        <v>44816</v>
      </c>
      <c r="H63" s="345">
        <v>29</v>
      </c>
      <c r="I63" s="345">
        <v>2021</v>
      </c>
      <c r="J63" s="345" t="s">
        <v>46</v>
      </c>
      <c r="K63" s="345">
        <v>3</v>
      </c>
      <c r="L63" s="345">
        <v>2824.8</v>
      </c>
      <c r="N63" s="100">
        <f t="shared" si="0"/>
        <v>292.5</v>
      </c>
      <c r="O63">
        <f t="shared" si="1"/>
        <v>2.9249999999999998</v>
      </c>
      <c r="P63">
        <f t="shared" si="2"/>
        <v>3.65625</v>
      </c>
      <c r="Q63">
        <f t="shared" si="3"/>
        <v>102.70406250000001</v>
      </c>
      <c r="R63">
        <f t="shared" si="4"/>
        <v>219.70406250000002</v>
      </c>
      <c r="S63" s="353">
        <f t="shared" si="5"/>
        <v>3.6357994371282927</v>
      </c>
      <c r="T63" s="353">
        <f t="shared" si="6"/>
        <v>7.7776855883602378</v>
      </c>
    </row>
    <row r="64" spans="1:21">
      <c r="A64">
        <v>24099</v>
      </c>
      <c r="B64" t="s">
        <v>46</v>
      </c>
      <c r="C64">
        <v>30</v>
      </c>
      <c r="D64" t="s">
        <v>2464</v>
      </c>
      <c r="E64">
        <v>334.4</v>
      </c>
      <c r="G64" s="344">
        <v>44816</v>
      </c>
      <c r="H64" s="345">
        <v>30</v>
      </c>
      <c r="I64" s="345">
        <v>2021</v>
      </c>
      <c r="J64" s="345" t="s">
        <v>46</v>
      </c>
      <c r="K64" s="345">
        <v>4</v>
      </c>
      <c r="L64" s="345">
        <v>2752.5</v>
      </c>
      <c r="N64" s="100">
        <f t="shared" si="0"/>
        <v>333.7</v>
      </c>
      <c r="O64">
        <f t="shared" si="1"/>
        <v>3.3369999999999997</v>
      </c>
      <c r="P64">
        <f t="shared" si="2"/>
        <v>4.1712499999999997</v>
      </c>
      <c r="Q64">
        <f t="shared" si="3"/>
        <v>117.17041249999998</v>
      </c>
      <c r="R64">
        <f t="shared" si="4"/>
        <v>250.65041249999999</v>
      </c>
      <c r="S64" s="353">
        <f t="shared" si="5"/>
        <v>4.2568723887375111</v>
      </c>
      <c r="T64" s="353">
        <f t="shared" si="6"/>
        <v>9.1062820163487732</v>
      </c>
    </row>
    <row r="65" spans="1:21">
      <c r="A65">
        <v>24100</v>
      </c>
      <c r="B65" t="s">
        <v>46</v>
      </c>
      <c r="C65">
        <v>31</v>
      </c>
      <c r="D65" t="s">
        <v>2464</v>
      </c>
      <c r="E65">
        <v>339.5</v>
      </c>
      <c r="G65" s="344">
        <v>44816</v>
      </c>
      <c r="H65" s="345">
        <v>31</v>
      </c>
      <c r="I65" s="345">
        <v>2021</v>
      </c>
      <c r="J65" s="345" t="s">
        <v>46</v>
      </c>
      <c r="K65" s="345">
        <v>5</v>
      </c>
      <c r="L65" s="345">
        <v>2860.6</v>
      </c>
      <c r="N65" s="100">
        <f t="shared" si="0"/>
        <v>338.8</v>
      </c>
      <c r="O65">
        <f t="shared" si="1"/>
        <v>3.3879999999999999</v>
      </c>
      <c r="P65">
        <f t="shared" si="2"/>
        <v>4.2349999999999994</v>
      </c>
      <c r="Q65">
        <f t="shared" si="3"/>
        <v>118.96114999999999</v>
      </c>
      <c r="R65">
        <f t="shared" si="4"/>
        <v>254.48114999999999</v>
      </c>
      <c r="S65" s="353">
        <f t="shared" si="5"/>
        <v>4.1586083339159616</v>
      </c>
      <c r="T65" s="353">
        <f t="shared" si="6"/>
        <v>8.8960759980423685</v>
      </c>
    </row>
    <row r="66" spans="1:21">
      <c r="A66">
        <v>24101</v>
      </c>
      <c r="B66" t="s">
        <v>46</v>
      </c>
      <c r="C66">
        <v>32</v>
      </c>
      <c r="D66" t="s">
        <v>2464</v>
      </c>
      <c r="E66">
        <v>338.2</v>
      </c>
      <c r="G66" s="344">
        <v>44816</v>
      </c>
      <c r="H66" s="345">
        <v>32</v>
      </c>
      <c r="I66" s="345">
        <v>2021</v>
      </c>
      <c r="J66" s="345" t="s">
        <v>46</v>
      </c>
      <c r="K66" s="345">
        <v>6</v>
      </c>
      <c r="L66" s="345">
        <v>2811.3</v>
      </c>
      <c r="N66" s="100">
        <f t="shared" si="0"/>
        <v>337.5</v>
      </c>
      <c r="O66">
        <f t="shared" si="1"/>
        <v>3.375</v>
      </c>
      <c r="P66">
        <f t="shared" si="2"/>
        <v>4.21875</v>
      </c>
      <c r="Q66">
        <f t="shared" si="3"/>
        <v>118.5046875</v>
      </c>
      <c r="R66">
        <f t="shared" si="4"/>
        <v>253.50468750000002</v>
      </c>
      <c r="S66" s="353">
        <f t="shared" si="5"/>
        <v>4.2152985273716785</v>
      </c>
      <c r="T66" s="353">
        <f t="shared" si="6"/>
        <v>9.0173474015579984</v>
      </c>
    </row>
    <row r="67" spans="1:21">
      <c r="A67">
        <v>24102</v>
      </c>
      <c r="B67" t="s">
        <v>46</v>
      </c>
      <c r="C67">
        <v>33</v>
      </c>
      <c r="D67" t="s">
        <v>2464</v>
      </c>
      <c r="E67">
        <v>268.89999999999998</v>
      </c>
      <c r="G67" s="344">
        <v>44816</v>
      </c>
      <c r="H67" s="345">
        <v>33</v>
      </c>
      <c r="I67" s="345">
        <v>2021</v>
      </c>
      <c r="J67" s="345" t="s">
        <v>46</v>
      </c>
      <c r="K67" s="345">
        <v>7</v>
      </c>
      <c r="L67" s="345">
        <v>2243.6</v>
      </c>
      <c r="N67" s="100">
        <f t="shared" si="0"/>
        <v>268.2</v>
      </c>
      <c r="O67">
        <f t="shared" si="1"/>
        <v>2.6819999999999999</v>
      </c>
      <c r="P67">
        <f t="shared" si="2"/>
        <v>3.3525</v>
      </c>
      <c r="Q67">
        <f t="shared" si="3"/>
        <v>94.171724999999995</v>
      </c>
      <c r="R67">
        <f t="shared" si="4"/>
        <v>201.45172500000001</v>
      </c>
      <c r="S67" s="353">
        <f t="shared" si="5"/>
        <v>4.1973491264039939</v>
      </c>
      <c r="T67" s="353">
        <f t="shared" si="6"/>
        <v>8.9789501247994306</v>
      </c>
    </row>
    <row r="68" spans="1:21">
      <c r="A68">
        <v>24103</v>
      </c>
      <c r="B68" t="s">
        <v>46</v>
      </c>
      <c r="C68" t="s">
        <v>2474</v>
      </c>
      <c r="D68" t="s">
        <v>2464</v>
      </c>
      <c r="E68">
        <v>357.4</v>
      </c>
      <c r="G68" s="349">
        <v>44816</v>
      </c>
      <c r="H68" s="350">
        <v>34</v>
      </c>
      <c r="I68" s="350">
        <v>2021</v>
      </c>
      <c r="J68" s="350" t="s">
        <v>46</v>
      </c>
      <c r="K68" s="350">
        <v>8</v>
      </c>
      <c r="L68" s="350">
        <v>2739.5</v>
      </c>
      <c r="M68" s="129"/>
      <c r="N68" s="354">
        <f t="shared" si="0"/>
        <v>356.7</v>
      </c>
      <c r="O68" s="129">
        <f t="shared" si="1"/>
        <v>3.5669999999999997</v>
      </c>
      <c r="P68" s="129">
        <f t="shared" si="2"/>
        <v>4.4587499999999993</v>
      </c>
      <c r="Q68" s="129">
        <f t="shared" si="3"/>
        <v>125.24628749999998</v>
      </c>
      <c r="R68" s="129">
        <f t="shared" si="4"/>
        <v>267.9262875</v>
      </c>
      <c r="S68" s="129">
        <f t="shared" si="5"/>
        <v>4.5718666727505015</v>
      </c>
      <c r="T68" s="129">
        <f t="shared" si="6"/>
        <v>9.7801163533491504</v>
      </c>
      <c r="U68" s="355">
        <f>(S68-S69)/AVERAGE(S68:S69)</f>
        <v>-2.2402688322598696E-3</v>
      </c>
    </row>
    <row r="69" spans="1:21">
      <c r="A69">
        <v>24104</v>
      </c>
      <c r="B69" t="s">
        <v>46</v>
      </c>
      <c r="C69" t="s">
        <v>2475</v>
      </c>
      <c r="D69" t="s">
        <v>2464</v>
      </c>
      <c r="E69">
        <v>358.2</v>
      </c>
      <c r="G69" s="349">
        <v>44816</v>
      </c>
      <c r="H69" s="350">
        <v>34</v>
      </c>
      <c r="I69" s="350">
        <v>2021</v>
      </c>
      <c r="J69" s="350" t="s">
        <v>46</v>
      </c>
      <c r="K69" s="350">
        <v>8</v>
      </c>
      <c r="L69" s="350">
        <v>2739.5</v>
      </c>
      <c r="M69" s="356" t="s">
        <v>2491</v>
      </c>
      <c r="N69" s="354">
        <f t="shared" si="0"/>
        <v>357.5</v>
      </c>
      <c r="O69" s="129">
        <f t="shared" si="1"/>
        <v>3.5749999999999997</v>
      </c>
      <c r="P69" s="129">
        <f t="shared" si="2"/>
        <v>4.46875</v>
      </c>
      <c r="Q69" s="129">
        <f t="shared" si="3"/>
        <v>125.5271875</v>
      </c>
      <c r="R69" s="129">
        <f t="shared" si="4"/>
        <v>268.52718750000003</v>
      </c>
      <c r="S69" s="129">
        <f t="shared" si="5"/>
        <v>4.5821203686804157</v>
      </c>
      <c r="T69" s="129">
        <f t="shared" si="6"/>
        <v>9.8020510129585698</v>
      </c>
      <c r="U69" s="129"/>
    </row>
    <row r="70" spans="1:21">
      <c r="A70">
        <v>24105</v>
      </c>
      <c r="B70" t="s">
        <v>46</v>
      </c>
      <c r="C70">
        <v>35</v>
      </c>
      <c r="D70" t="s">
        <v>2464</v>
      </c>
      <c r="E70">
        <v>368.9</v>
      </c>
      <c r="G70" s="344">
        <v>44816</v>
      </c>
      <c r="H70" s="345">
        <v>35</v>
      </c>
      <c r="I70" s="345">
        <v>2021</v>
      </c>
      <c r="J70" s="345" t="s">
        <v>46</v>
      </c>
      <c r="K70" s="345">
        <v>9</v>
      </c>
      <c r="L70" s="345">
        <v>2841.9</v>
      </c>
      <c r="N70" s="100">
        <f t="shared" si="0"/>
        <v>368.2</v>
      </c>
      <c r="O70">
        <f t="shared" si="1"/>
        <v>3.6819999999999995</v>
      </c>
      <c r="P70">
        <f t="shared" si="2"/>
        <v>4.6024999999999991</v>
      </c>
      <c r="Q70">
        <f t="shared" si="3"/>
        <v>129.28422499999996</v>
      </c>
      <c r="R70">
        <f t="shared" si="4"/>
        <v>276.56422499999996</v>
      </c>
      <c r="S70" s="353">
        <f t="shared" si="5"/>
        <v>4.5492179527780694</v>
      </c>
      <c r="T70" s="353">
        <f t="shared" si="6"/>
        <v>9.7316663147894005</v>
      </c>
    </row>
    <row r="71" spans="1:21" ht="15" thickBot="1">
      <c r="A71">
        <v>24106</v>
      </c>
      <c r="B71" t="s">
        <v>46</v>
      </c>
      <c r="C71">
        <v>36</v>
      </c>
      <c r="D71" t="s">
        <v>2464</v>
      </c>
      <c r="E71">
        <v>347.4</v>
      </c>
      <c r="G71" s="344">
        <v>44816</v>
      </c>
      <c r="H71" s="346">
        <v>36</v>
      </c>
      <c r="I71" s="345">
        <v>2021</v>
      </c>
      <c r="J71" s="346" t="s">
        <v>46</v>
      </c>
      <c r="K71" s="346">
        <v>10</v>
      </c>
      <c r="L71" s="346">
        <v>2745.5</v>
      </c>
      <c r="N71" s="100">
        <f t="shared" si="0"/>
        <v>346.7</v>
      </c>
      <c r="O71">
        <f t="shared" si="1"/>
        <v>3.4670000000000001</v>
      </c>
      <c r="P71">
        <f t="shared" si="2"/>
        <v>4.3337500000000002</v>
      </c>
      <c r="Q71">
        <f t="shared" si="3"/>
        <v>121.7350375</v>
      </c>
      <c r="R71">
        <f t="shared" si="4"/>
        <v>260.41503750000004</v>
      </c>
      <c r="S71" s="353">
        <f t="shared" si="5"/>
        <v>4.4339842469495538</v>
      </c>
      <c r="T71" s="353">
        <f t="shared" si="6"/>
        <v>9.4851588963758893</v>
      </c>
    </row>
    <row r="72" spans="1:21" ht="15" thickTop="1">
      <c r="A72">
        <v>24107</v>
      </c>
      <c r="B72" t="s">
        <v>46</v>
      </c>
      <c r="C72">
        <v>37</v>
      </c>
      <c r="D72" t="s">
        <v>2464</v>
      </c>
      <c r="E72">
        <v>317.89999999999998</v>
      </c>
      <c r="G72" s="344">
        <v>44816</v>
      </c>
      <c r="H72" s="347">
        <v>37</v>
      </c>
      <c r="I72" s="345">
        <v>2021</v>
      </c>
      <c r="J72" s="347" t="s">
        <v>46</v>
      </c>
      <c r="K72" s="347">
        <v>11</v>
      </c>
      <c r="L72" s="347">
        <v>2781.5</v>
      </c>
      <c r="N72" s="100">
        <f t="shared" si="0"/>
        <v>317.2</v>
      </c>
      <c r="O72">
        <f t="shared" si="1"/>
        <v>3.1719999999999997</v>
      </c>
      <c r="P72">
        <f t="shared" si="2"/>
        <v>3.9649999999999999</v>
      </c>
      <c r="Q72">
        <f t="shared" si="3"/>
        <v>111.37684999999999</v>
      </c>
      <c r="R72">
        <f t="shared" si="4"/>
        <v>238.25685000000001</v>
      </c>
      <c r="S72" s="353">
        <f t="shared" si="5"/>
        <v>4.0042009706992632</v>
      </c>
      <c r="T72" s="353">
        <f t="shared" si="6"/>
        <v>8.565768470249866</v>
      </c>
    </row>
    <row r="73" spans="1:21">
      <c r="A73">
        <v>24108</v>
      </c>
      <c r="B73" t="s">
        <v>46</v>
      </c>
      <c r="C73">
        <v>38</v>
      </c>
      <c r="D73" t="s">
        <v>2464</v>
      </c>
      <c r="E73">
        <v>248.5</v>
      </c>
      <c r="G73" s="344">
        <v>44816</v>
      </c>
      <c r="H73" s="345">
        <v>38</v>
      </c>
      <c r="I73" s="345">
        <v>2021</v>
      </c>
      <c r="J73" s="345" t="s">
        <v>46</v>
      </c>
      <c r="K73" s="345">
        <v>12</v>
      </c>
      <c r="L73" s="345">
        <v>2172</v>
      </c>
      <c r="N73" s="100">
        <f t="shared" si="0"/>
        <v>247.8</v>
      </c>
      <c r="O73">
        <f t="shared" si="1"/>
        <v>2.4780000000000002</v>
      </c>
      <c r="P73">
        <f t="shared" si="2"/>
        <v>3.0975000000000001</v>
      </c>
      <c r="Q73">
        <f t="shared" si="3"/>
        <v>87.008775</v>
      </c>
      <c r="R73">
        <f t="shared" si="4"/>
        <v>186.12877500000002</v>
      </c>
      <c r="S73" s="353">
        <f t="shared" si="5"/>
        <v>4.0059288674033144</v>
      </c>
      <c r="T73" s="353">
        <f t="shared" si="6"/>
        <v>8.5694647790055249</v>
      </c>
    </row>
    <row r="74" spans="1:21">
      <c r="A74">
        <v>24109</v>
      </c>
      <c r="B74" t="s">
        <v>46</v>
      </c>
      <c r="C74">
        <v>39</v>
      </c>
      <c r="D74" t="s">
        <v>2464</v>
      </c>
      <c r="E74">
        <v>264.89999999999998</v>
      </c>
      <c r="G74" s="344">
        <v>44816</v>
      </c>
      <c r="H74" s="345">
        <v>39</v>
      </c>
      <c r="I74" s="345">
        <v>2021</v>
      </c>
      <c r="J74" s="345" t="s">
        <v>46</v>
      </c>
      <c r="K74" s="345">
        <v>13</v>
      </c>
      <c r="L74" s="345">
        <v>2158.5</v>
      </c>
      <c r="N74" s="100">
        <f t="shared" si="0"/>
        <v>264.2</v>
      </c>
      <c r="O74">
        <f t="shared" si="1"/>
        <v>2.6419999999999999</v>
      </c>
      <c r="P74">
        <f t="shared" si="2"/>
        <v>3.3024999999999998</v>
      </c>
      <c r="Q74">
        <f t="shared" si="3"/>
        <v>92.767224999999996</v>
      </c>
      <c r="R74">
        <f t="shared" si="4"/>
        <v>198.447225</v>
      </c>
      <c r="S74" s="353">
        <f t="shared" si="5"/>
        <v>4.2977634931665509</v>
      </c>
      <c r="T74" s="353">
        <f t="shared" si="6"/>
        <v>9.1937560806115357</v>
      </c>
    </row>
    <row r="75" spans="1:21">
      <c r="A75">
        <v>24110</v>
      </c>
      <c r="B75" t="s">
        <v>46</v>
      </c>
      <c r="C75">
        <v>40</v>
      </c>
      <c r="D75" t="s">
        <v>2464</v>
      </c>
      <c r="E75">
        <v>403.6</v>
      </c>
      <c r="G75" s="344">
        <v>44816</v>
      </c>
      <c r="H75" s="345">
        <v>40</v>
      </c>
      <c r="I75" s="345">
        <v>2021</v>
      </c>
      <c r="J75" s="345" t="s">
        <v>46</v>
      </c>
      <c r="K75" s="345">
        <v>14</v>
      </c>
      <c r="L75" s="345">
        <v>2352.1</v>
      </c>
      <c r="N75" s="100">
        <f t="shared" si="0"/>
        <v>402.90000000000003</v>
      </c>
      <c r="O75">
        <f t="shared" si="1"/>
        <v>4.0289999999999999</v>
      </c>
      <c r="P75">
        <f t="shared" si="2"/>
        <v>5.0362499999999999</v>
      </c>
      <c r="Q75">
        <f t="shared" si="3"/>
        <v>141.46826250000001</v>
      </c>
      <c r="R75">
        <f t="shared" si="4"/>
        <v>302.62826250000001</v>
      </c>
      <c r="S75" s="353">
        <f t="shared" si="5"/>
        <v>6.0145513583606149</v>
      </c>
      <c r="T75" s="353">
        <f t="shared" si="6"/>
        <v>12.866300858807026</v>
      </c>
    </row>
    <row r="76" spans="1:21">
      <c r="A76">
        <v>24111</v>
      </c>
      <c r="B76" t="s">
        <v>46</v>
      </c>
      <c r="C76">
        <v>41</v>
      </c>
      <c r="D76" t="s">
        <v>2464</v>
      </c>
      <c r="E76">
        <v>496.4</v>
      </c>
      <c r="G76" s="344">
        <v>44816</v>
      </c>
      <c r="H76" s="345">
        <v>41</v>
      </c>
      <c r="I76" s="345">
        <v>2021</v>
      </c>
      <c r="J76" s="345" t="s">
        <v>46</v>
      </c>
      <c r="K76" s="345">
        <v>15</v>
      </c>
      <c r="L76" s="345">
        <v>2334.1999999999998</v>
      </c>
      <c r="N76" s="100">
        <f t="shared" si="0"/>
        <v>495.7</v>
      </c>
      <c r="O76">
        <f t="shared" si="1"/>
        <v>4.9569999999999999</v>
      </c>
      <c r="P76">
        <f t="shared" si="2"/>
        <v>6.19625</v>
      </c>
      <c r="Q76">
        <f t="shared" si="3"/>
        <v>174.0526625</v>
      </c>
      <c r="R76">
        <f t="shared" si="4"/>
        <v>372.33266250000003</v>
      </c>
      <c r="S76" s="353">
        <f t="shared" si="5"/>
        <v>7.4566302159198017</v>
      </c>
      <c r="T76" s="353">
        <f t="shared" si="6"/>
        <v>15.951189379658986</v>
      </c>
    </row>
    <row r="77" spans="1:21">
      <c r="A77">
        <v>24112</v>
      </c>
      <c r="B77" t="s">
        <v>46</v>
      </c>
      <c r="C77">
        <v>42</v>
      </c>
      <c r="D77" t="s">
        <v>2464</v>
      </c>
      <c r="E77">
        <v>1001</v>
      </c>
      <c r="G77" s="344">
        <v>44816</v>
      </c>
      <c r="H77" s="345">
        <v>42</v>
      </c>
      <c r="I77" s="345">
        <v>2021</v>
      </c>
      <c r="J77" s="345" t="s">
        <v>46</v>
      </c>
      <c r="K77" s="345">
        <v>16</v>
      </c>
      <c r="L77" s="345">
        <v>2578.8000000000002</v>
      </c>
      <c r="N77" s="100">
        <f t="shared" si="0"/>
        <v>1000.3</v>
      </c>
      <c r="O77">
        <f t="shared" si="1"/>
        <v>10.003</v>
      </c>
      <c r="P77">
        <f t="shared" si="2"/>
        <v>12.50375</v>
      </c>
      <c r="Q77">
        <f t="shared" si="3"/>
        <v>351.23033750000002</v>
      </c>
      <c r="R77">
        <f t="shared" si="4"/>
        <v>751.35033750000002</v>
      </c>
      <c r="S77" s="353">
        <f t="shared" si="5"/>
        <v>13.6199138165038</v>
      </c>
      <c r="T77" s="353">
        <f t="shared" si="6"/>
        <v>29.135657573289901</v>
      </c>
    </row>
    <row r="78" spans="1:21">
      <c r="A78">
        <v>24113</v>
      </c>
      <c r="B78" t="s">
        <v>46</v>
      </c>
      <c r="C78">
        <v>43</v>
      </c>
      <c r="D78" t="s">
        <v>2464</v>
      </c>
      <c r="E78">
        <v>756.7</v>
      </c>
      <c r="G78" s="362">
        <v>44816</v>
      </c>
      <c r="H78" s="358">
        <v>43</v>
      </c>
      <c r="I78" s="358">
        <v>2021</v>
      </c>
      <c r="J78" s="358" t="s">
        <v>46</v>
      </c>
      <c r="K78" s="358" t="s">
        <v>2253</v>
      </c>
      <c r="L78" s="358">
        <v>2065.8000000000002</v>
      </c>
      <c r="M78" s="359"/>
      <c r="N78" s="360">
        <f t="shared" si="0"/>
        <v>756</v>
      </c>
      <c r="O78" s="359">
        <f t="shared" si="1"/>
        <v>7.5600000000000005</v>
      </c>
      <c r="P78" s="359">
        <f t="shared" si="2"/>
        <v>9.4500000000000011</v>
      </c>
      <c r="Q78" s="359">
        <f t="shared" si="3"/>
        <v>265.45050000000003</v>
      </c>
      <c r="R78" s="359">
        <f t="shared" si="4"/>
        <v>567.85050000000012</v>
      </c>
      <c r="S78" s="359">
        <f t="shared" si="5"/>
        <v>12.84976764449608</v>
      </c>
      <c r="T78" s="359">
        <f t="shared" si="6"/>
        <v>27.488164391519028</v>
      </c>
      <c r="U78" s="361">
        <f>(S78-S79)/AVERAGE(S78:S79)</f>
        <v>2.1756589220297003E-2</v>
      </c>
    </row>
    <row r="79" spans="1:21">
      <c r="A79">
        <v>24114</v>
      </c>
      <c r="B79" t="s">
        <v>46</v>
      </c>
      <c r="C79" t="s">
        <v>2476</v>
      </c>
      <c r="D79" t="s">
        <v>2464</v>
      </c>
      <c r="E79">
        <v>1104.5999999999999</v>
      </c>
      <c r="G79" s="362">
        <v>44816</v>
      </c>
      <c r="H79" s="358">
        <v>44</v>
      </c>
      <c r="I79" s="358">
        <v>2021</v>
      </c>
      <c r="J79" s="358" t="s">
        <v>46</v>
      </c>
      <c r="K79" s="358" t="s">
        <v>2255</v>
      </c>
      <c r="L79" s="358">
        <v>3082.8</v>
      </c>
      <c r="M79" s="359"/>
      <c r="N79" s="360">
        <f t="shared" si="0"/>
        <v>1103.8999999999999</v>
      </c>
      <c r="O79" s="359">
        <f t="shared" si="1"/>
        <v>11.038999999999998</v>
      </c>
      <c r="P79" s="359">
        <f t="shared" si="2"/>
        <v>13.798749999999998</v>
      </c>
      <c r="Q79" s="359">
        <f t="shared" si="3"/>
        <v>387.60688749999997</v>
      </c>
      <c r="R79" s="359">
        <f t="shared" si="4"/>
        <v>829.16688749999992</v>
      </c>
      <c r="S79" s="359">
        <f t="shared" si="5"/>
        <v>12.573209014532241</v>
      </c>
      <c r="T79" s="359">
        <f t="shared" si="6"/>
        <v>26.896551430517707</v>
      </c>
      <c r="U79" s="361">
        <f>(S79-S80)/AVERAGE(S79:S80)</f>
        <v>2.267265224685833E-3</v>
      </c>
    </row>
    <row r="80" spans="1:21">
      <c r="A80">
        <v>24115</v>
      </c>
      <c r="B80" t="s">
        <v>46</v>
      </c>
      <c r="C80" t="s">
        <v>2477</v>
      </c>
      <c r="D80" t="s">
        <v>2464</v>
      </c>
      <c r="E80">
        <v>1102.0999999999999</v>
      </c>
      <c r="G80" s="349">
        <v>44816</v>
      </c>
      <c r="H80" s="350">
        <v>44</v>
      </c>
      <c r="I80" s="350">
        <v>2021</v>
      </c>
      <c r="J80" s="350" t="s">
        <v>46</v>
      </c>
      <c r="K80" s="350" t="s">
        <v>2255</v>
      </c>
      <c r="L80" s="350">
        <v>3082.8</v>
      </c>
      <c r="M80" s="356" t="s">
        <v>2491</v>
      </c>
      <c r="N80" s="354">
        <f t="shared" si="0"/>
        <v>1101.3999999999999</v>
      </c>
      <c r="O80" s="129">
        <f t="shared" si="1"/>
        <v>11.013999999999999</v>
      </c>
      <c r="P80" s="129">
        <f t="shared" si="2"/>
        <v>13.767499999999998</v>
      </c>
      <c r="Q80" s="129">
        <f t="shared" si="3"/>
        <v>386.72907499999997</v>
      </c>
      <c r="R80" s="129">
        <f t="shared" si="4"/>
        <v>827.28907499999991</v>
      </c>
      <c r="S80" s="129">
        <f t="shared" si="5"/>
        <v>12.544734494615284</v>
      </c>
      <c r="T80" s="129">
        <f t="shared" si="6"/>
        <v>26.835638867263523</v>
      </c>
      <c r="U80" s="355"/>
    </row>
    <row r="81" spans="1:21">
      <c r="A81">
        <v>24116</v>
      </c>
      <c r="B81" t="s">
        <v>46</v>
      </c>
      <c r="C81">
        <v>45</v>
      </c>
      <c r="D81" t="s">
        <v>2464</v>
      </c>
      <c r="E81">
        <v>604.20000000000005</v>
      </c>
      <c r="G81" s="344">
        <v>44816</v>
      </c>
      <c r="H81" s="345">
        <v>45</v>
      </c>
      <c r="I81" s="345">
        <v>2021</v>
      </c>
      <c r="J81" s="345" t="s">
        <v>46</v>
      </c>
      <c r="K81" s="345">
        <v>18</v>
      </c>
      <c r="L81" s="345">
        <v>2383.3000000000002</v>
      </c>
      <c r="N81" s="100">
        <f t="shared" si="0"/>
        <v>603.5</v>
      </c>
      <c r="O81">
        <f t="shared" si="1"/>
        <v>6.0350000000000001</v>
      </c>
      <c r="P81">
        <f t="shared" si="2"/>
        <v>7.5437500000000002</v>
      </c>
      <c r="Q81">
        <f t="shared" si="3"/>
        <v>211.90393750000001</v>
      </c>
      <c r="R81">
        <f t="shared" si="4"/>
        <v>453.30393750000002</v>
      </c>
      <c r="S81" s="353">
        <f t="shared" si="5"/>
        <v>8.8911986531280149</v>
      </c>
      <c r="T81" s="353">
        <f t="shared" si="6"/>
        <v>19.020011643519489</v>
      </c>
    </row>
    <row r="82" spans="1:21" s="371" customFormat="1">
      <c r="A82" s="371">
        <v>24117</v>
      </c>
      <c r="B82" s="371" t="s">
        <v>2293</v>
      </c>
      <c r="C82" s="371">
        <v>46</v>
      </c>
      <c r="D82" s="371" t="s">
        <v>2464</v>
      </c>
      <c r="E82" s="371">
        <v>1.1000000000000001</v>
      </c>
      <c r="G82" s="372">
        <v>44816</v>
      </c>
      <c r="H82" s="373">
        <v>46</v>
      </c>
      <c r="I82" s="373"/>
      <c r="J82" s="373" t="s">
        <v>2488</v>
      </c>
      <c r="K82" s="373"/>
      <c r="L82" s="373"/>
      <c r="N82" s="374">
        <f t="shared" si="0"/>
        <v>0.4</v>
      </c>
      <c r="O82" s="371">
        <f t="shared" si="1"/>
        <v>4.0000000000000001E-3</v>
      </c>
      <c r="P82" s="371">
        <f t="shared" si="2"/>
        <v>5.0000000000000001E-3</v>
      </c>
      <c r="Q82" s="371">
        <f t="shared" si="3"/>
        <v>0.14044999999999999</v>
      </c>
      <c r="R82" s="371">
        <f t="shared" si="4"/>
        <v>0.30045000000000005</v>
      </c>
      <c r="S82" s="371" t="e">
        <f t="shared" si="5"/>
        <v>#DIV/0!</v>
      </c>
      <c r="T82" s="371" t="e">
        <f t="shared" si="6"/>
        <v>#DIV/0!</v>
      </c>
    </row>
    <row r="83" spans="1:21" s="39" customFormat="1">
      <c r="A83" s="39">
        <v>24118</v>
      </c>
      <c r="B83" s="39" t="s">
        <v>2467</v>
      </c>
      <c r="C83" s="39">
        <v>47</v>
      </c>
      <c r="D83" s="39" t="s">
        <v>2464</v>
      </c>
      <c r="E83" s="39">
        <v>309</v>
      </c>
      <c r="G83" s="364">
        <v>44816</v>
      </c>
      <c r="H83" s="365">
        <v>47</v>
      </c>
      <c r="I83" s="365" t="s">
        <v>2487</v>
      </c>
      <c r="J83" s="366" t="s">
        <v>2467</v>
      </c>
      <c r="K83" s="365">
        <v>2</v>
      </c>
      <c r="L83" s="365">
        <v>2418.1999999999998</v>
      </c>
      <c r="N83" s="367">
        <f t="shared" si="0"/>
        <v>308.3</v>
      </c>
      <c r="O83" s="39">
        <f t="shared" si="1"/>
        <v>3.0830000000000002</v>
      </c>
      <c r="P83" s="39">
        <f t="shared" si="2"/>
        <v>3.8537500000000002</v>
      </c>
      <c r="Q83" s="39">
        <f t="shared" si="3"/>
        <v>108.25183750000001</v>
      </c>
      <c r="R83" s="39">
        <f t="shared" si="4"/>
        <v>231.57183750000002</v>
      </c>
      <c r="S83" s="39">
        <f t="shared" si="5"/>
        <v>4.4765460879993393</v>
      </c>
      <c r="T83" s="39">
        <f t="shared" si="6"/>
        <v>9.5762069928045666</v>
      </c>
    </row>
    <row r="84" spans="1:21" ht="15" thickBot="1">
      <c r="A84">
        <v>24120</v>
      </c>
      <c r="B84" t="s">
        <v>46</v>
      </c>
      <c r="C84">
        <v>48</v>
      </c>
      <c r="D84" t="s">
        <v>2464</v>
      </c>
      <c r="E84">
        <v>555.20000000000005</v>
      </c>
      <c r="G84" s="344">
        <v>44816</v>
      </c>
      <c r="H84" s="346">
        <v>48</v>
      </c>
      <c r="I84" s="345">
        <v>2021</v>
      </c>
      <c r="J84" s="346" t="s">
        <v>46</v>
      </c>
      <c r="K84" s="346">
        <v>19</v>
      </c>
      <c r="L84" s="346">
        <v>2449</v>
      </c>
      <c r="N84" s="100">
        <f t="shared" si="0"/>
        <v>554.5</v>
      </c>
      <c r="O84">
        <f t="shared" si="1"/>
        <v>5.5449999999999999</v>
      </c>
      <c r="P84">
        <f t="shared" si="2"/>
        <v>6.9312500000000004</v>
      </c>
      <c r="Q84">
        <f t="shared" si="3"/>
        <v>194.6988125</v>
      </c>
      <c r="R84">
        <f t="shared" si="4"/>
        <v>416.49881250000004</v>
      </c>
      <c r="S84" s="353">
        <f t="shared" si="5"/>
        <v>7.9501352592895067</v>
      </c>
      <c r="T84" s="353">
        <f t="shared" si="6"/>
        <v>17.006893119640669</v>
      </c>
    </row>
    <row r="85" spans="1:21" ht="15" thickTop="1">
      <c r="A85">
        <v>24121</v>
      </c>
      <c r="B85" t="s">
        <v>46</v>
      </c>
      <c r="C85">
        <v>49</v>
      </c>
      <c r="D85" t="s">
        <v>2464</v>
      </c>
      <c r="E85">
        <v>441.5</v>
      </c>
      <c r="G85" s="348">
        <v>44817</v>
      </c>
      <c r="H85" s="347">
        <v>49</v>
      </c>
      <c r="I85" s="345">
        <v>2021</v>
      </c>
      <c r="J85" s="347" t="s">
        <v>46</v>
      </c>
      <c r="K85" s="347">
        <v>20</v>
      </c>
      <c r="L85" s="347">
        <v>2114.8000000000002</v>
      </c>
      <c r="N85" s="100">
        <f t="shared" si="0"/>
        <v>440.8</v>
      </c>
      <c r="O85">
        <f t="shared" si="1"/>
        <v>4.4080000000000004</v>
      </c>
      <c r="P85">
        <f t="shared" si="2"/>
        <v>5.5100000000000007</v>
      </c>
      <c r="Q85">
        <f t="shared" si="3"/>
        <v>154.77590000000001</v>
      </c>
      <c r="R85">
        <f t="shared" si="4"/>
        <v>331.09590000000009</v>
      </c>
      <c r="S85" s="353">
        <f t="shared" si="5"/>
        <v>7.3187015320597695</v>
      </c>
      <c r="T85" s="353">
        <f t="shared" si="6"/>
        <v>15.65613296765652</v>
      </c>
    </row>
    <row r="86" spans="1:21">
      <c r="A86">
        <v>24122</v>
      </c>
      <c r="B86" t="s">
        <v>46</v>
      </c>
      <c r="C86">
        <v>50</v>
      </c>
      <c r="D86" t="s">
        <v>2464</v>
      </c>
      <c r="E86">
        <v>400</v>
      </c>
      <c r="G86" s="348">
        <v>44817</v>
      </c>
      <c r="H86" s="345">
        <v>50</v>
      </c>
      <c r="I86" s="345">
        <v>2021</v>
      </c>
      <c r="J86" s="345" t="s">
        <v>46</v>
      </c>
      <c r="K86" s="345">
        <v>21</v>
      </c>
      <c r="L86" s="345">
        <v>2416.6999999999998</v>
      </c>
      <c r="N86" s="100">
        <f t="shared" si="0"/>
        <v>399.3</v>
      </c>
      <c r="O86">
        <f t="shared" si="1"/>
        <v>3.9929999999999999</v>
      </c>
      <c r="P86">
        <f t="shared" si="2"/>
        <v>4.99125</v>
      </c>
      <c r="Q86">
        <f t="shared" si="3"/>
        <v>140.20421250000001</v>
      </c>
      <c r="R86">
        <f t="shared" si="4"/>
        <v>299.92421250000001</v>
      </c>
      <c r="S86" s="353">
        <f t="shared" si="5"/>
        <v>5.8014736003641341</v>
      </c>
      <c r="T86" s="353">
        <f t="shared" si="6"/>
        <v>12.410485889849797</v>
      </c>
    </row>
    <row r="87" spans="1:21">
      <c r="A87">
        <v>24123</v>
      </c>
      <c r="B87" t="s">
        <v>47</v>
      </c>
      <c r="C87">
        <v>51</v>
      </c>
      <c r="D87" t="s">
        <v>2464</v>
      </c>
      <c r="E87">
        <v>249.6</v>
      </c>
      <c r="G87" s="348">
        <v>44817</v>
      </c>
      <c r="H87" s="345">
        <v>51</v>
      </c>
      <c r="I87" s="345">
        <v>2021</v>
      </c>
      <c r="J87" s="345" t="s">
        <v>47</v>
      </c>
      <c r="K87" s="345">
        <v>1</v>
      </c>
      <c r="L87" s="345">
        <v>2572.1</v>
      </c>
      <c r="N87" s="100">
        <f t="shared" si="0"/>
        <v>248.9</v>
      </c>
      <c r="O87">
        <f t="shared" si="1"/>
        <v>2.4889999999999999</v>
      </c>
      <c r="P87">
        <f t="shared" si="2"/>
        <v>3.1112500000000001</v>
      </c>
      <c r="Q87">
        <f t="shared" si="3"/>
        <v>87.395012500000007</v>
      </c>
      <c r="R87">
        <f t="shared" si="4"/>
        <v>186.95501250000001</v>
      </c>
      <c r="S87" s="353">
        <f t="shared" si="5"/>
        <v>3.3978077252050856</v>
      </c>
      <c r="T87" s="353">
        <f t="shared" si="6"/>
        <v>7.2685748026904102</v>
      </c>
    </row>
    <row r="88" spans="1:21">
      <c r="A88">
        <v>24124</v>
      </c>
      <c r="B88" t="s">
        <v>47</v>
      </c>
      <c r="C88" t="s">
        <v>2478</v>
      </c>
      <c r="D88" t="s">
        <v>2464</v>
      </c>
      <c r="E88">
        <v>284.3</v>
      </c>
      <c r="G88" s="352">
        <v>44817</v>
      </c>
      <c r="H88" s="350">
        <v>52</v>
      </c>
      <c r="I88" s="350">
        <v>2021</v>
      </c>
      <c r="J88" s="350" t="s">
        <v>47</v>
      </c>
      <c r="K88" s="350">
        <v>2</v>
      </c>
      <c r="L88" s="350">
        <v>3041.3</v>
      </c>
      <c r="M88" s="129"/>
      <c r="N88" s="354">
        <f t="shared" si="0"/>
        <v>283.60000000000002</v>
      </c>
      <c r="O88" s="129">
        <f t="shared" si="1"/>
        <v>2.8360000000000003</v>
      </c>
      <c r="P88" s="129">
        <f t="shared" si="2"/>
        <v>3.5450000000000004</v>
      </c>
      <c r="Q88" s="129">
        <f t="shared" si="3"/>
        <v>99.579050000000009</v>
      </c>
      <c r="R88" s="129">
        <f t="shared" si="4"/>
        <v>213.01905000000002</v>
      </c>
      <c r="S88" s="129">
        <f t="shared" si="5"/>
        <v>3.2742264820964722</v>
      </c>
      <c r="T88" s="129">
        <f t="shared" si="6"/>
        <v>7.0042103705652199</v>
      </c>
      <c r="U88" s="355">
        <f>(S88-S89)/AVERAGE(S88:S89)</f>
        <v>4.9487451396254692E-3</v>
      </c>
    </row>
    <row r="89" spans="1:21">
      <c r="A89">
        <v>24125</v>
      </c>
      <c r="B89" t="s">
        <v>47</v>
      </c>
      <c r="C89" t="s">
        <v>2479</v>
      </c>
      <c r="D89" t="s">
        <v>2464</v>
      </c>
      <c r="E89">
        <v>282.89999999999998</v>
      </c>
      <c r="G89" s="352">
        <v>44817</v>
      </c>
      <c r="H89" s="350">
        <v>52</v>
      </c>
      <c r="I89" s="350">
        <v>2021</v>
      </c>
      <c r="J89" s="350" t="s">
        <v>47</v>
      </c>
      <c r="K89" s="350">
        <v>2</v>
      </c>
      <c r="L89" s="350">
        <v>3041.3</v>
      </c>
      <c r="M89" s="356" t="s">
        <v>2491</v>
      </c>
      <c r="N89" s="354">
        <f t="shared" si="0"/>
        <v>282.2</v>
      </c>
      <c r="O89" s="129">
        <f t="shared" si="1"/>
        <v>2.8220000000000001</v>
      </c>
      <c r="P89" s="129">
        <f t="shared" si="2"/>
        <v>3.5274999999999999</v>
      </c>
      <c r="Q89" s="129">
        <f t="shared" si="3"/>
        <v>99.087474999999998</v>
      </c>
      <c r="R89" s="129">
        <f t="shared" si="4"/>
        <v>211.96747500000001</v>
      </c>
      <c r="S89" s="129">
        <f t="shared" si="5"/>
        <v>3.258063163778647</v>
      </c>
      <c r="T89" s="129">
        <f t="shared" si="6"/>
        <v>6.9696338736724428</v>
      </c>
      <c r="U89" s="129"/>
    </row>
    <row r="90" spans="1:21">
      <c r="A90">
        <v>24126</v>
      </c>
      <c r="B90" t="s">
        <v>47</v>
      </c>
      <c r="C90">
        <v>53</v>
      </c>
      <c r="D90" t="s">
        <v>2464</v>
      </c>
      <c r="E90">
        <v>251.7</v>
      </c>
      <c r="G90" s="348">
        <v>44817</v>
      </c>
      <c r="H90" s="345">
        <v>53</v>
      </c>
      <c r="I90" s="345">
        <v>2021</v>
      </c>
      <c r="J90" s="345" t="s">
        <v>47</v>
      </c>
      <c r="K90" s="345">
        <v>3</v>
      </c>
      <c r="L90" s="345">
        <v>2899.8</v>
      </c>
      <c r="N90" s="100">
        <f t="shared" si="0"/>
        <v>251</v>
      </c>
      <c r="O90">
        <f t="shared" si="1"/>
        <v>2.5099999999999998</v>
      </c>
      <c r="P90">
        <f t="shared" si="2"/>
        <v>3.1374999999999997</v>
      </c>
      <c r="Q90">
        <f t="shared" si="3"/>
        <v>88.132374999999996</v>
      </c>
      <c r="R90">
        <f t="shared" si="4"/>
        <v>188.532375</v>
      </c>
      <c r="S90" s="353">
        <f t="shared" si="5"/>
        <v>3.0392570177253599</v>
      </c>
      <c r="T90" s="353">
        <f t="shared" si="6"/>
        <v>6.5015647630871083</v>
      </c>
    </row>
    <row r="91" spans="1:21">
      <c r="A91">
        <v>24127</v>
      </c>
      <c r="B91" t="s">
        <v>47</v>
      </c>
      <c r="C91">
        <v>54</v>
      </c>
      <c r="D91" t="s">
        <v>2464</v>
      </c>
      <c r="E91">
        <v>246.7</v>
      </c>
      <c r="G91" s="348">
        <v>44817</v>
      </c>
      <c r="H91" s="345">
        <v>54</v>
      </c>
      <c r="I91" s="345">
        <v>2021</v>
      </c>
      <c r="J91" s="345" t="s">
        <v>47</v>
      </c>
      <c r="K91" s="345">
        <v>4</v>
      </c>
      <c r="L91" s="345">
        <v>2671.2</v>
      </c>
      <c r="N91" s="100">
        <f t="shared" si="0"/>
        <v>246</v>
      </c>
      <c r="O91">
        <f t="shared" si="1"/>
        <v>2.46</v>
      </c>
      <c r="P91">
        <f t="shared" si="2"/>
        <v>3.0750000000000002</v>
      </c>
      <c r="Q91">
        <f t="shared" si="3"/>
        <v>86.376750000000001</v>
      </c>
      <c r="R91">
        <f t="shared" si="4"/>
        <v>184.77675000000002</v>
      </c>
      <c r="S91" s="353">
        <f t="shared" si="5"/>
        <v>3.2336309523809526</v>
      </c>
      <c r="T91" s="353">
        <f t="shared" si="6"/>
        <v>6.9173685983827502</v>
      </c>
    </row>
    <row r="92" spans="1:21">
      <c r="A92">
        <v>24128</v>
      </c>
      <c r="B92" t="s">
        <v>47</v>
      </c>
      <c r="C92">
        <v>55</v>
      </c>
      <c r="D92" t="s">
        <v>2464</v>
      </c>
      <c r="E92">
        <v>250.3</v>
      </c>
      <c r="G92" s="348">
        <v>44817</v>
      </c>
      <c r="H92" s="345">
        <v>55</v>
      </c>
      <c r="I92" s="345">
        <v>2021</v>
      </c>
      <c r="J92" s="345" t="s">
        <v>47</v>
      </c>
      <c r="K92" s="345">
        <v>5</v>
      </c>
      <c r="L92" s="345">
        <v>2758.1</v>
      </c>
      <c r="N92" s="100">
        <f t="shared" si="0"/>
        <v>249.60000000000002</v>
      </c>
      <c r="O92">
        <f t="shared" si="1"/>
        <v>2.496</v>
      </c>
      <c r="P92">
        <f t="shared" si="2"/>
        <v>3.12</v>
      </c>
      <c r="Q92">
        <f t="shared" si="3"/>
        <v>87.640799999999999</v>
      </c>
      <c r="R92">
        <f t="shared" si="4"/>
        <v>187.48080000000002</v>
      </c>
      <c r="S92" s="353">
        <f t="shared" si="5"/>
        <v>3.177578767992459</v>
      </c>
      <c r="T92" s="353">
        <f t="shared" si="6"/>
        <v>6.7974620209564556</v>
      </c>
    </row>
    <row r="93" spans="1:21">
      <c r="A93">
        <v>24129</v>
      </c>
      <c r="B93" t="s">
        <v>47</v>
      </c>
      <c r="C93">
        <v>56</v>
      </c>
      <c r="D93" t="s">
        <v>2464</v>
      </c>
      <c r="E93">
        <v>252.9</v>
      </c>
      <c r="G93" s="348">
        <v>44817</v>
      </c>
      <c r="H93" s="345">
        <v>56</v>
      </c>
      <c r="I93" s="345">
        <v>2021</v>
      </c>
      <c r="J93" s="345" t="s">
        <v>47</v>
      </c>
      <c r="K93" s="345">
        <v>6</v>
      </c>
      <c r="L93" s="345">
        <v>2748</v>
      </c>
      <c r="N93" s="100">
        <f t="shared" si="0"/>
        <v>252.20000000000002</v>
      </c>
      <c r="O93">
        <f t="shared" si="1"/>
        <v>2.5220000000000002</v>
      </c>
      <c r="P93">
        <f t="shared" si="2"/>
        <v>3.1525000000000003</v>
      </c>
      <c r="Q93">
        <f t="shared" si="3"/>
        <v>88.553725000000014</v>
      </c>
      <c r="R93">
        <f t="shared" si="4"/>
        <v>189.43372500000004</v>
      </c>
      <c r="S93" s="353">
        <f t="shared" si="5"/>
        <v>3.2224790756914126</v>
      </c>
      <c r="T93" s="353">
        <f t="shared" si="6"/>
        <v>6.8935125545851541</v>
      </c>
    </row>
    <row r="94" spans="1:21">
      <c r="A94">
        <v>24130</v>
      </c>
      <c r="B94" t="s">
        <v>47</v>
      </c>
      <c r="C94">
        <v>57</v>
      </c>
      <c r="D94" t="s">
        <v>2464</v>
      </c>
      <c r="E94">
        <v>218.3</v>
      </c>
      <c r="G94" s="348">
        <v>44817</v>
      </c>
      <c r="H94" s="345">
        <v>57</v>
      </c>
      <c r="I94" s="345">
        <v>2021</v>
      </c>
      <c r="J94" s="345" t="s">
        <v>47</v>
      </c>
      <c r="K94" s="345">
        <v>7</v>
      </c>
      <c r="L94" s="345">
        <v>2162.6999999999998</v>
      </c>
      <c r="N94" s="100">
        <f t="shared" si="0"/>
        <v>217.60000000000002</v>
      </c>
      <c r="O94">
        <f t="shared" si="1"/>
        <v>2.1760000000000002</v>
      </c>
      <c r="P94">
        <f t="shared" si="2"/>
        <v>2.72</v>
      </c>
      <c r="Q94">
        <f t="shared" si="3"/>
        <v>76.404800000000009</v>
      </c>
      <c r="R94">
        <f t="shared" si="4"/>
        <v>163.44480000000001</v>
      </c>
      <c r="S94" s="353">
        <f t="shared" si="5"/>
        <v>3.5328432052526941</v>
      </c>
      <c r="T94" s="353">
        <f t="shared" si="6"/>
        <v>7.5574420862810392</v>
      </c>
    </row>
    <row r="95" spans="1:21" s="371" customFormat="1">
      <c r="A95" s="371">
        <v>24131</v>
      </c>
      <c r="B95" s="371" t="s">
        <v>2294</v>
      </c>
      <c r="C95" s="371">
        <v>58</v>
      </c>
      <c r="D95" s="371" t="s">
        <v>2464</v>
      </c>
      <c r="E95" s="371">
        <v>0.7</v>
      </c>
      <c r="G95" s="375">
        <v>44817</v>
      </c>
      <c r="H95" s="373">
        <v>58</v>
      </c>
      <c r="I95" s="373"/>
      <c r="J95" s="373" t="s">
        <v>2489</v>
      </c>
      <c r="K95" s="373"/>
      <c r="L95" s="373"/>
      <c r="N95" s="374">
        <f t="shared" si="0"/>
        <v>0</v>
      </c>
      <c r="O95" s="371">
        <f t="shared" si="1"/>
        <v>0</v>
      </c>
      <c r="P95" s="371">
        <f t="shared" si="2"/>
        <v>0</v>
      </c>
      <c r="Q95" s="371">
        <f t="shared" si="3"/>
        <v>0</v>
      </c>
      <c r="R95" s="371">
        <f t="shared" si="4"/>
        <v>0</v>
      </c>
      <c r="S95" s="371" t="e">
        <f t="shared" si="5"/>
        <v>#DIV/0!</v>
      </c>
      <c r="T95" s="371" t="e">
        <f t="shared" si="6"/>
        <v>#DIV/0!</v>
      </c>
    </row>
    <row r="96" spans="1:21" s="39" customFormat="1">
      <c r="A96" s="39">
        <v>24132</v>
      </c>
      <c r="B96" s="39" t="s">
        <v>2467</v>
      </c>
      <c r="C96" s="39" t="s">
        <v>2480</v>
      </c>
      <c r="D96" s="39" t="s">
        <v>2464</v>
      </c>
      <c r="E96" s="39">
        <v>342.7</v>
      </c>
      <c r="G96" s="376">
        <v>44817</v>
      </c>
      <c r="H96" s="365">
        <v>59</v>
      </c>
      <c r="I96" s="365" t="s">
        <v>2487</v>
      </c>
      <c r="J96" s="366" t="s">
        <v>2467</v>
      </c>
      <c r="K96" s="365">
        <v>3</v>
      </c>
      <c r="L96" s="365">
        <v>2842.8</v>
      </c>
      <c r="N96" s="367">
        <f t="shared" ref="N96:N118" si="7">E96-$T$28</f>
        <v>342</v>
      </c>
      <c r="O96" s="39">
        <f t="shared" ref="O96:O118" si="8">(N96/1000)*10</f>
        <v>3.4200000000000004</v>
      </c>
      <c r="P96" s="39">
        <f t="shared" ref="P96:P118" si="9">O96*(5/4)</f>
        <v>4.2750000000000004</v>
      </c>
      <c r="Q96" s="39">
        <f t="shared" ref="Q96:Q118" si="10">P96*28.09</f>
        <v>120.08475000000001</v>
      </c>
      <c r="R96" s="39">
        <f t="shared" ref="R96:R118" si="11">P96*(28.09+2*16)</f>
        <v>256.88475000000005</v>
      </c>
      <c r="S96" s="39">
        <f t="shared" ref="S96:S118" si="12">(Q96/L96)*100</f>
        <v>4.2241715913887719</v>
      </c>
      <c r="T96" s="39">
        <f t="shared" ref="T96:T118" si="13">(R96/L96)*100</f>
        <v>9.0363286196707477</v>
      </c>
      <c r="U96" s="370">
        <f>(S96-S97)/AVERAGE(S96:S97)</f>
        <v>-3.2112100423295695E-3</v>
      </c>
    </row>
    <row r="97" spans="1:21" s="39" customFormat="1">
      <c r="A97" s="39">
        <v>24133</v>
      </c>
      <c r="B97" s="39" t="s">
        <v>2467</v>
      </c>
      <c r="C97" s="39" t="s">
        <v>2481</v>
      </c>
      <c r="D97" s="39" t="s">
        <v>2464</v>
      </c>
      <c r="E97" s="39">
        <v>343.8</v>
      </c>
      <c r="G97" s="376">
        <v>44817</v>
      </c>
      <c r="H97" s="365">
        <v>59</v>
      </c>
      <c r="I97" s="365" t="s">
        <v>2487</v>
      </c>
      <c r="J97" s="366" t="s">
        <v>2467</v>
      </c>
      <c r="K97" s="365">
        <v>3</v>
      </c>
      <c r="L97" s="365">
        <v>2842.8</v>
      </c>
      <c r="M97" s="183" t="s">
        <v>2491</v>
      </c>
      <c r="N97" s="367">
        <f t="shared" si="7"/>
        <v>343.1</v>
      </c>
      <c r="O97" s="39">
        <f t="shared" si="8"/>
        <v>3.431</v>
      </c>
      <c r="P97" s="39">
        <f t="shared" si="9"/>
        <v>4.2887500000000003</v>
      </c>
      <c r="Q97" s="39">
        <f t="shared" si="10"/>
        <v>120.47098750000001</v>
      </c>
      <c r="R97" s="39">
        <f t="shared" si="11"/>
        <v>257.71098750000004</v>
      </c>
      <c r="S97" s="39">
        <f t="shared" si="12"/>
        <v>4.2377581082031801</v>
      </c>
      <c r="T97" s="39">
        <f t="shared" si="13"/>
        <v>9.0653928345293391</v>
      </c>
    </row>
    <row r="98" spans="1:21" ht="15" thickBot="1">
      <c r="A98">
        <v>24134</v>
      </c>
      <c r="B98" t="s">
        <v>47</v>
      </c>
      <c r="C98">
        <v>60</v>
      </c>
      <c r="D98" t="s">
        <v>2464</v>
      </c>
      <c r="E98">
        <v>282.60000000000002</v>
      </c>
      <c r="G98" s="348">
        <v>44817</v>
      </c>
      <c r="H98" s="346">
        <v>60</v>
      </c>
      <c r="I98" s="345">
        <v>2021</v>
      </c>
      <c r="J98" s="346" t="s">
        <v>47</v>
      </c>
      <c r="K98" s="346">
        <v>8</v>
      </c>
      <c r="L98" s="346">
        <v>2637.6</v>
      </c>
      <c r="N98" s="100">
        <f t="shared" si="7"/>
        <v>281.90000000000003</v>
      </c>
      <c r="O98">
        <f t="shared" si="8"/>
        <v>2.8190000000000004</v>
      </c>
      <c r="P98">
        <f t="shared" si="9"/>
        <v>3.5237500000000006</v>
      </c>
      <c r="Q98">
        <f t="shared" si="10"/>
        <v>98.982137500000022</v>
      </c>
      <c r="R98">
        <f t="shared" si="11"/>
        <v>211.74213750000004</v>
      </c>
      <c r="S98" s="353">
        <f t="shared" si="12"/>
        <v>3.752734967394602</v>
      </c>
      <c r="T98" s="353">
        <f t="shared" si="13"/>
        <v>8.0278335418562339</v>
      </c>
    </row>
    <row r="99" spans="1:21" ht="15" thickTop="1">
      <c r="A99">
        <v>24135</v>
      </c>
      <c r="B99" t="s">
        <v>47</v>
      </c>
      <c r="C99">
        <v>61</v>
      </c>
      <c r="D99" t="s">
        <v>2464</v>
      </c>
      <c r="E99">
        <v>258.7</v>
      </c>
      <c r="G99" s="348">
        <v>44817</v>
      </c>
      <c r="H99" s="347">
        <v>61</v>
      </c>
      <c r="I99" s="345">
        <v>2021</v>
      </c>
      <c r="J99" s="347" t="s">
        <v>47</v>
      </c>
      <c r="K99" s="347">
        <v>9</v>
      </c>
      <c r="L99" s="347">
        <v>2331.6</v>
      </c>
      <c r="N99" s="100">
        <f t="shared" si="7"/>
        <v>258</v>
      </c>
      <c r="O99">
        <f t="shared" si="8"/>
        <v>2.58</v>
      </c>
      <c r="P99">
        <f t="shared" si="9"/>
        <v>3.2250000000000001</v>
      </c>
      <c r="Q99">
        <f t="shared" si="10"/>
        <v>90.590249999999997</v>
      </c>
      <c r="R99">
        <f t="shared" si="11"/>
        <v>193.79025000000001</v>
      </c>
      <c r="S99" s="353">
        <f t="shared" si="12"/>
        <v>3.8853255275347403</v>
      </c>
      <c r="T99" s="353">
        <f t="shared" si="13"/>
        <v>8.3114706639217708</v>
      </c>
    </row>
    <row r="100" spans="1:21">
      <c r="A100">
        <v>24136</v>
      </c>
      <c r="B100" t="s">
        <v>47</v>
      </c>
      <c r="C100">
        <v>62</v>
      </c>
      <c r="D100" t="s">
        <v>2464</v>
      </c>
      <c r="E100">
        <v>326</v>
      </c>
      <c r="G100" s="348">
        <v>44817</v>
      </c>
      <c r="H100" s="345">
        <v>62</v>
      </c>
      <c r="I100" s="345">
        <v>2021</v>
      </c>
      <c r="J100" s="345" t="s">
        <v>47</v>
      </c>
      <c r="K100" s="345">
        <v>10</v>
      </c>
      <c r="L100" s="345">
        <v>2806.4</v>
      </c>
      <c r="N100" s="100">
        <f t="shared" si="7"/>
        <v>325.3</v>
      </c>
      <c r="O100">
        <f t="shared" si="8"/>
        <v>3.2530000000000001</v>
      </c>
      <c r="P100">
        <f t="shared" si="9"/>
        <v>4.0662500000000001</v>
      </c>
      <c r="Q100">
        <f t="shared" si="10"/>
        <v>114.2209625</v>
      </c>
      <c r="R100">
        <f t="shared" si="11"/>
        <v>244.34096250000002</v>
      </c>
      <c r="S100" s="353">
        <f t="shared" si="12"/>
        <v>4.0700171928449258</v>
      </c>
      <c r="T100" s="353">
        <f t="shared" si="13"/>
        <v>8.706562232753706</v>
      </c>
    </row>
    <row r="101" spans="1:21">
      <c r="A101">
        <v>24137</v>
      </c>
      <c r="B101" t="s">
        <v>47</v>
      </c>
      <c r="C101">
        <v>63</v>
      </c>
      <c r="D101" t="s">
        <v>2464</v>
      </c>
      <c r="E101">
        <v>298.39999999999998</v>
      </c>
      <c r="G101" s="357">
        <v>44817</v>
      </c>
      <c r="H101" s="358">
        <v>63</v>
      </c>
      <c r="I101" s="358">
        <v>2021</v>
      </c>
      <c r="J101" s="358" t="s">
        <v>47</v>
      </c>
      <c r="K101" s="358" t="s">
        <v>2257</v>
      </c>
      <c r="L101" s="358">
        <v>2627.8</v>
      </c>
      <c r="M101" s="359"/>
      <c r="N101" s="360">
        <f t="shared" si="7"/>
        <v>297.7</v>
      </c>
      <c r="O101" s="359">
        <f t="shared" si="8"/>
        <v>2.9769999999999994</v>
      </c>
      <c r="P101" s="359">
        <f t="shared" si="9"/>
        <v>3.7212499999999995</v>
      </c>
      <c r="Q101" s="359">
        <f t="shared" si="10"/>
        <v>104.52991249999998</v>
      </c>
      <c r="R101" s="359">
        <f t="shared" si="11"/>
        <v>223.60991249999998</v>
      </c>
      <c r="S101" s="359">
        <f t="shared" si="12"/>
        <v>3.9778488659715339</v>
      </c>
      <c r="T101" s="359">
        <f t="shared" si="13"/>
        <v>8.5093961678970977</v>
      </c>
      <c r="U101" s="361">
        <f>(S101-S102)/AVERAGE(S101:S102)</f>
        <v>2.9265717876836132E-2</v>
      </c>
    </row>
    <row r="102" spans="1:21">
      <c r="A102">
        <v>24138</v>
      </c>
      <c r="B102" t="s">
        <v>47</v>
      </c>
      <c r="C102">
        <v>64</v>
      </c>
      <c r="D102" t="s">
        <v>2464</v>
      </c>
      <c r="E102">
        <v>283.3</v>
      </c>
      <c r="G102" s="357">
        <v>44817</v>
      </c>
      <c r="H102" s="358">
        <v>64</v>
      </c>
      <c r="I102" s="358">
        <v>2021</v>
      </c>
      <c r="J102" s="358" t="s">
        <v>47</v>
      </c>
      <c r="K102" s="358" t="s">
        <v>2258</v>
      </c>
      <c r="L102" s="358">
        <v>2568.6</v>
      </c>
      <c r="M102" s="359"/>
      <c r="N102" s="360">
        <f t="shared" si="7"/>
        <v>282.60000000000002</v>
      </c>
      <c r="O102" s="359">
        <f t="shared" si="8"/>
        <v>2.8260000000000001</v>
      </c>
      <c r="P102" s="359">
        <f t="shared" si="9"/>
        <v>3.5325000000000002</v>
      </c>
      <c r="Q102" s="359">
        <f t="shared" si="10"/>
        <v>99.227924999999999</v>
      </c>
      <c r="R102" s="359">
        <f t="shared" si="11"/>
        <v>212.26792500000002</v>
      </c>
      <c r="S102" s="359">
        <f t="shared" si="12"/>
        <v>3.8631131744919411</v>
      </c>
      <c r="T102" s="359">
        <f t="shared" si="13"/>
        <v>8.263954099509462</v>
      </c>
      <c r="U102" s="359"/>
    </row>
    <row r="103" spans="1:21">
      <c r="A103">
        <v>24139</v>
      </c>
      <c r="B103" t="s">
        <v>47</v>
      </c>
      <c r="C103">
        <v>65</v>
      </c>
      <c r="D103" t="s">
        <v>2464</v>
      </c>
      <c r="E103">
        <v>258</v>
      </c>
      <c r="G103" s="348">
        <v>44817</v>
      </c>
      <c r="H103" s="345">
        <v>65</v>
      </c>
      <c r="I103" s="345">
        <v>2021</v>
      </c>
      <c r="J103" s="345" t="s">
        <v>47</v>
      </c>
      <c r="K103" s="345">
        <v>12</v>
      </c>
      <c r="L103" s="345">
        <v>2473.9</v>
      </c>
      <c r="N103" s="100">
        <f t="shared" si="7"/>
        <v>257.3</v>
      </c>
      <c r="O103">
        <f t="shared" si="8"/>
        <v>2.5730000000000004</v>
      </c>
      <c r="P103">
        <f t="shared" si="9"/>
        <v>3.2162500000000005</v>
      </c>
      <c r="Q103">
        <f t="shared" si="10"/>
        <v>90.34446250000002</v>
      </c>
      <c r="R103">
        <f t="shared" si="11"/>
        <v>193.26446250000004</v>
      </c>
      <c r="S103" s="353">
        <f t="shared" si="12"/>
        <v>3.6519043817454229</v>
      </c>
      <c r="T103" s="353">
        <f t="shared" si="13"/>
        <v>7.8121372124984854</v>
      </c>
    </row>
    <row r="104" spans="1:21">
      <c r="A104">
        <v>24140</v>
      </c>
      <c r="B104" t="s">
        <v>47</v>
      </c>
      <c r="C104">
        <v>66</v>
      </c>
      <c r="D104" t="s">
        <v>2464</v>
      </c>
      <c r="E104">
        <v>265.2</v>
      </c>
      <c r="G104" s="348">
        <v>44817</v>
      </c>
      <c r="H104" s="345">
        <v>66</v>
      </c>
      <c r="I104" s="345">
        <v>2021</v>
      </c>
      <c r="J104" s="345" t="s">
        <v>47</v>
      </c>
      <c r="K104" s="345">
        <v>13</v>
      </c>
      <c r="L104" s="345">
        <v>2228.6</v>
      </c>
      <c r="N104" s="100">
        <f t="shared" si="7"/>
        <v>264.5</v>
      </c>
      <c r="O104">
        <f t="shared" si="8"/>
        <v>2.645</v>
      </c>
      <c r="P104">
        <f t="shared" si="9"/>
        <v>3.3062499999999999</v>
      </c>
      <c r="Q104">
        <f t="shared" si="10"/>
        <v>92.872562500000001</v>
      </c>
      <c r="R104">
        <f t="shared" si="11"/>
        <v>198.6725625</v>
      </c>
      <c r="S104" s="353">
        <f t="shared" si="12"/>
        <v>4.1673051467288884</v>
      </c>
      <c r="T104" s="353">
        <f t="shared" si="13"/>
        <v>8.9146801803823035</v>
      </c>
    </row>
    <row r="105" spans="1:21">
      <c r="A105">
        <v>24141</v>
      </c>
      <c r="B105" t="s">
        <v>47</v>
      </c>
      <c r="C105" t="s">
        <v>2482</v>
      </c>
      <c r="D105" t="s">
        <v>2464</v>
      </c>
      <c r="E105">
        <v>411.3</v>
      </c>
      <c r="G105" s="352">
        <v>44817</v>
      </c>
      <c r="H105" s="350">
        <v>67</v>
      </c>
      <c r="I105" s="350">
        <v>2021</v>
      </c>
      <c r="J105" s="350" t="s">
        <v>47</v>
      </c>
      <c r="K105" s="350">
        <v>14</v>
      </c>
      <c r="L105" s="350">
        <v>2794.4</v>
      </c>
      <c r="M105" s="129"/>
      <c r="N105" s="354">
        <f t="shared" si="7"/>
        <v>410.6</v>
      </c>
      <c r="O105" s="129">
        <f t="shared" si="8"/>
        <v>4.1059999999999999</v>
      </c>
      <c r="P105" s="129">
        <f t="shared" si="9"/>
        <v>5.1325000000000003</v>
      </c>
      <c r="Q105" s="129">
        <f t="shared" si="10"/>
        <v>144.17192500000002</v>
      </c>
      <c r="R105" s="129">
        <f t="shared" si="11"/>
        <v>308.41192500000005</v>
      </c>
      <c r="S105" s="129">
        <f t="shared" si="12"/>
        <v>5.1593159533352422</v>
      </c>
      <c r="T105" s="129">
        <f t="shared" si="13"/>
        <v>11.036785177497855</v>
      </c>
      <c r="U105" s="355">
        <f>(S105-S106)/AVERAGE(S105:S106)</f>
        <v>-4.8590864917394481E-3</v>
      </c>
    </row>
    <row r="106" spans="1:21">
      <c r="A106">
        <v>24142</v>
      </c>
      <c r="B106" t="s">
        <v>47</v>
      </c>
      <c r="C106" t="s">
        <v>2483</v>
      </c>
      <c r="D106" t="s">
        <v>2464</v>
      </c>
      <c r="E106">
        <v>413.3</v>
      </c>
      <c r="G106" s="352">
        <v>44817</v>
      </c>
      <c r="H106" s="350">
        <v>67</v>
      </c>
      <c r="I106" s="350">
        <v>2021</v>
      </c>
      <c r="J106" s="350" t="s">
        <v>47</v>
      </c>
      <c r="K106" s="350">
        <v>14</v>
      </c>
      <c r="L106" s="350">
        <v>2794.4</v>
      </c>
      <c r="M106" s="356" t="s">
        <v>2491</v>
      </c>
      <c r="N106" s="354">
        <f t="shared" si="7"/>
        <v>412.6</v>
      </c>
      <c r="O106" s="129">
        <f t="shared" si="8"/>
        <v>4.1260000000000003</v>
      </c>
      <c r="P106" s="129">
        <f t="shared" si="9"/>
        <v>5.1575000000000006</v>
      </c>
      <c r="Q106" s="129">
        <f t="shared" si="10"/>
        <v>144.87417500000001</v>
      </c>
      <c r="R106" s="129">
        <f t="shared" si="11"/>
        <v>309.91417500000006</v>
      </c>
      <c r="S106" s="129">
        <f t="shared" si="12"/>
        <v>5.184446571714858</v>
      </c>
      <c r="T106" s="129">
        <f t="shared" si="13"/>
        <v>11.090544481820785</v>
      </c>
      <c r="U106" s="129"/>
    </row>
    <row r="107" spans="1:21">
      <c r="A107">
        <v>24143</v>
      </c>
      <c r="B107" t="s">
        <v>47</v>
      </c>
      <c r="C107">
        <v>68</v>
      </c>
      <c r="D107" t="s">
        <v>2464</v>
      </c>
      <c r="E107">
        <v>421.4</v>
      </c>
      <c r="G107" s="348">
        <v>44817</v>
      </c>
      <c r="H107" s="345">
        <v>68</v>
      </c>
      <c r="I107" s="345">
        <v>2021</v>
      </c>
      <c r="J107" s="345" t="s">
        <v>47</v>
      </c>
      <c r="K107" s="345">
        <v>15</v>
      </c>
      <c r="L107" s="345">
        <v>2228.6</v>
      </c>
      <c r="N107" s="100">
        <f t="shared" si="7"/>
        <v>420.7</v>
      </c>
      <c r="O107">
        <f t="shared" si="8"/>
        <v>4.2069999999999999</v>
      </c>
      <c r="P107">
        <f t="shared" si="9"/>
        <v>5.25875</v>
      </c>
      <c r="Q107">
        <f t="shared" si="10"/>
        <v>147.7182875</v>
      </c>
      <c r="R107">
        <f t="shared" si="11"/>
        <v>315.9982875</v>
      </c>
      <c r="S107" s="353">
        <f t="shared" si="12"/>
        <v>6.6282997173113172</v>
      </c>
      <c r="T107" s="353">
        <f t="shared" si="13"/>
        <v>14.179228551557033</v>
      </c>
    </row>
    <row r="108" spans="1:21">
      <c r="A108">
        <v>24144</v>
      </c>
      <c r="B108" t="s">
        <v>47</v>
      </c>
      <c r="C108">
        <v>69</v>
      </c>
      <c r="D108" t="s">
        <v>2464</v>
      </c>
      <c r="E108">
        <v>776.4</v>
      </c>
      <c r="G108" s="357">
        <v>44817</v>
      </c>
      <c r="H108" s="358">
        <v>69</v>
      </c>
      <c r="I108" s="358">
        <v>2021</v>
      </c>
      <c r="J108" s="358" t="s">
        <v>47</v>
      </c>
      <c r="K108" s="358" t="s">
        <v>2248</v>
      </c>
      <c r="L108" s="358">
        <v>2254.1</v>
      </c>
      <c r="M108" s="359"/>
      <c r="N108" s="360">
        <f t="shared" si="7"/>
        <v>775.69999999999993</v>
      </c>
      <c r="O108" s="359">
        <f t="shared" si="8"/>
        <v>7.7569999999999997</v>
      </c>
      <c r="P108" s="359">
        <f t="shared" si="9"/>
        <v>9.6962499999999991</v>
      </c>
      <c r="Q108" s="359">
        <f t="shared" si="10"/>
        <v>272.36766249999999</v>
      </c>
      <c r="R108" s="359">
        <f t="shared" si="11"/>
        <v>582.64766250000002</v>
      </c>
      <c r="S108" s="359">
        <f t="shared" si="12"/>
        <v>12.08321114857371</v>
      </c>
      <c r="T108" s="359">
        <f t="shared" si="13"/>
        <v>25.848350228472562</v>
      </c>
      <c r="U108" s="361">
        <f>(S108-S109)/AVERAGE(S108:S109)</f>
        <v>-3.3550657522923685E-3</v>
      </c>
    </row>
    <row r="109" spans="1:21">
      <c r="A109">
        <v>24145</v>
      </c>
      <c r="B109" t="s">
        <v>47</v>
      </c>
      <c r="C109">
        <v>70</v>
      </c>
      <c r="D109" t="s">
        <v>2464</v>
      </c>
      <c r="E109">
        <v>859.7</v>
      </c>
      <c r="G109" s="357">
        <v>44817</v>
      </c>
      <c r="H109" s="358">
        <v>70</v>
      </c>
      <c r="I109" s="358">
        <v>2021</v>
      </c>
      <c r="J109" s="358" t="s">
        <v>47</v>
      </c>
      <c r="K109" s="358" t="s">
        <v>2249</v>
      </c>
      <c r="L109" s="358">
        <v>2487.8000000000002</v>
      </c>
      <c r="M109" s="359"/>
      <c r="N109" s="360">
        <f t="shared" si="7"/>
        <v>859</v>
      </c>
      <c r="O109" s="359">
        <f t="shared" si="8"/>
        <v>8.59</v>
      </c>
      <c r="P109" s="359">
        <f t="shared" si="9"/>
        <v>10.737500000000001</v>
      </c>
      <c r="Q109" s="359">
        <f t="shared" si="10"/>
        <v>301.61637500000001</v>
      </c>
      <c r="R109" s="359">
        <f t="shared" si="11"/>
        <v>645.21637500000008</v>
      </c>
      <c r="S109" s="359">
        <f t="shared" si="12"/>
        <v>12.123819237880857</v>
      </c>
      <c r="T109" s="359">
        <f t="shared" si="13"/>
        <v>25.935218868076216</v>
      </c>
      <c r="U109" s="359"/>
    </row>
    <row r="110" spans="1:21">
      <c r="A110">
        <v>24146</v>
      </c>
      <c r="B110" t="s">
        <v>47</v>
      </c>
      <c r="C110">
        <v>71</v>
      </c>
      <c r="D110" t="s">
        <v>2464</v>
      </c>
      <c r="E110">
        <v>1025.7</v>
      </c>
      <c r="G110" s="348">
        <v>44817</v>
      </c>
      <c r="H110" s="345">
        <v>71</v>
      </c>
      <c r="I110" s="345">
        <v>2021</v>
      </c>
      <c r="J110" s="345" t="s">
        <v>47</v>
      </c>
      <c r="K110" s="345">
        <v>17</v>
      </c>
      <c r="L110" s="345">
        <v>2954.1</v>
      </c>
      <c r="N110" s="100">
        <f t="shared" si="7"/>
        <v>1025</v>
      </c>
      <c r="O110">
        <f t="shared" si="8"/>
        <v>10.25</v>
      </c>
      <c r="P110">
        <f t="shared" si="9"/>
        <v>12.8125</v>
      </c>
      <c r="Q110">
        <f t="shared" si="10"/>
        <v>359.90312499999999</v>
      </c>
      <c r="R110">
        <f t="shared" si="11"/>
        <v>769.90312500000005</v>
      </c>
      <c r="S110" s="353">
        <f t="shared" si="12"/>
        <v>12.183173386141295</v>
      </c>
      <c r="T110" s="353">
        <f t="shared" si="13"/>
        <v>26.062188991571038</v>
      </c>
    </row>
    <row r="111" spans="1:21" ht="15" thickBot="1">
      <c r="A111">
        <v>24147</v>
      </c>
      <c r="B111" t="s">
        <v>47</v>
      </c>
      <c r="C111">
        <v>72</v>
      </c>
      <c r="D111" t="s">
        <v>2464</v>
      </c>
      <c r="E111">
        <v>589.20000000000005</v>
      </c>
      <c r="G111" s="348">
        <v>44817</v>
      </c>
      <c r="H111" s="346">
        <v>72</v>
      </c>
      <c r="I111" s="345">
        <v>2021</v>
      </c>
      <c r="J111" s="346" t="s">
        <v>47</v>
      </c>
      <c r="K111" s="346">
        <v>18</v>
      </c>
      <c r="L111" s="346">
        <v>2103.8000000000002</v>
      </c>
      <c r="N111" s="100">
        <f t="shared" si="7"/>
        <v>588.5</v>
      </c>
      <c r="O111">
        <f t="shared" si="8"/>
        <v>5.8849999999999998</v>
      </c>
      <c r="P111">
        <f t="shared" si="9"/>
        <v>7.3562499999999993</v>
      </c>
      <c r="Q111">
        <f t="shared" si="10"/>
        <v>206.63706249999998</v>
      </c>
      <c r="R111">
        <f t="shared" si="11"/>
        <v>442.03706249999999</v>
      </c>
      <c r="S111" s="353">
        <f t="shared" si="12"/>
        <v>9.8220868190892645</v>
      </c>
      <c r="T111" s="353">
        <f t="shared" si="13"/>
        <v>21.011363366289569</v>
      </c>
    </row>
    <row r="112" spans="1:21" ht="15" thickTop="1">
      <c r="A112">
        <v>24148</v>
      </c>
      <c r="B112" t="s">
        <v>47</v>
      </c>
      <c r="C112">
        <v>3</v>
      </c>
      <c r="D112" t="s">
        <v>2464</v>
      </c>
      <c r="E112">
        <v>515</v>
      </c>
      <c r="G112" s="348">
        <v>44817</v>
      </c>
      <c r="H112" s="347">
        <v>73</v>
      </c>
      <c r="I112" s="345">
        <v>2021</v>
      </c>
      <c r="J112" s="347" t="s">
        <v>47</v>
      </c>
      <c r="K112" s="347">
        <v>19</v>
      </c>
      <c r="L112" s="347">
        <v>2396</v>
      </c>
      <c r="N112" s="100">
        <f t="shared" si="7"/>
        <v>514.29999999999995</v>
      </c>
      <c r="O112">
        <f t="shared" si="8"/>
        <v>5.1429999999999998</v>
      </c>
      <c r="P112">
        <f t="shared" si="9"/>
        <v>6.42875</v>
      </c>
      <c r="Q112">
        <f t="shared" si="10"/>
        <v>180.58358749999999</v>
      </c>
      <c r="R112">
        <f t="shared" si="11"/>
        <v>386.30358749999999</v>
      </c>
      <c r="S112" s="353">
        <f t="shared" si="12"/>
        <v>7.5368776085141906</v>
      </c>
      <c r="T112" s="353">
        <f t="shared" si="13"/>
        <v>16.122854236227045</v>
      </c>
    </row>
    <row r="113" spans="1:21">
      <c r="A113">
        <v>24149</v>
      </c>
      <c r="B113" t="s">
        <v>47</v>
      </c>
      <c r="C113">
        <v>74</v>
      </c>
      <c r="D113" t="s">
        <v>2464</v>
      </c>
      <c r="E113">
        <v>485.8</v>
      </c>
      <c r="G113" s="348">
        <v>44817</v>
      </c>
      <c r="H113" s="345">
        <v>74</v>
      </c>
      <c r="I113" s="345">
        <v>2021</v>
      </c>
      <c r="J113" s="345" t="s">
        <v>47</v>
      </c>
      <c r="K113" s="345">
        <v>20</v>
      </c>
      <c r="L113" s="345">
        <v>2625</v>
      </c>
      <c r="N113" s="100">
        <f t="shared" si="7"/>
        <v>485.1</v>
      </c>
      <c r="O113">
        <f t="shared" si="8"/>
        <v>4.851</v>
      </c>
      <c r="P113">
        <f t="shared" si="9"/>
        <v>6.0637499999999998</v>
      </c>
      <c r="Q113">
        <f t="shared" si="10"/>
        <v>170.3307375</v>
      </c>
      <c r="R113">
        <f t="shared" si="11"/>
        <v>364.37073750000002</v>
      </c>
      <c r="S113" s="353">
        <f t="shared" si="12"/>
        <v>6.4887899999999998</v>
      </c>
      <c r="T113" s="353">
        <f t="shared" si="13"/>
        <v>13.880790000000001</v>
      </c>
    </row>
    <row r="114" spans="1:21">
      <c r="A114">
        <v>24150</v>
      </c>
      <c r="B114" t="s">
        <v>47</v>
      </c>
      <c r="C114">
        <v>75</v>
      </c>
      <c r="D114" t="s">
        <v>2464</v>
      </c>
      <c r="E114">
        <v>479.3</v>
      </c>
      <c r="G114" s="348">
        <v>44817</v>
      </c>
      <c r="H114" s="345">
        <v>75</v>
      </c>
      <c r="I114" s="345">
        <v>2021</v>
      </c>
      <c r="J114" s="345" t="s">
        <v>47</v>
      </c>
      <c r="K114" s="345">
        <v>21</v>
      </c>
      <c r="L114" s="345">
        <v>2945.2</v>
      </c>
      <c r="N114" s="100">
        <f t="shared" si="7"/>
        <v>478.6</v>
      </c>
      <c r="O114">
        <f t="shared" si="8"/>
        <v>4.7860000000000005</v>
      </c>
      <c r="P114">
        <f t="shared" si="9"/>
        <v>5.9825000000000008</v>
      </c>
      <c r="Q114">
        <f t="shared" si="10"/>
        <v>168.04842500000001</v>
      </c>
      <c r="R114">
        <f t="shared" si="11"/>
        <v>359.48842500000006</v>
      </c>
      <c r="S114" s="353">
        <f t="shared" si="12"/>
        <v>5.7058408597039261</v>
      </c>
      <c r="T114" s="353">
        <f t="shared" si="13"/>
        <v>12.205908766807012</v>
      </c>
    </row>
    <row r="115" spans="1:21" s="371" customFormat="1">
      <c r="A115" s="371">
        <v>24151</v>
      </c>
      <c r="B115" s="371" t="s">
        <v>2300</v>
      </c>
      <c r="C115" s="371">
        <v>76</v>
      </c>
      <c r="D115" s="371" t="s">
        <v>2464</v>
      </c>
      <c r="E115" s="371">
        <v>0.4</v>
      </c>
      <c r="G115" s="375">
        <v>44817</v>
      </c>
      <c r="H115" s="373">
        <v>76</v>
      </c>
      <c r="I115" s="373"/>
      <c r="J115" s="373" t="s">
        <v>2490</v>
      </c>
      <c r="K115" s="373"/>
      <c r="L115" s="373"/>
      <c r="N115" s="374">
        <f t="shared" si="7"/>
        <v>-0.30000000000000004</v>
      </c>
      <c r="O115" s="371">
        <f t="shared" si="8"/>
        <v>-3.0000000000000001E-3</v>
      </c>
      <c r="P115" s="371">
        <f t="shared" si="9"/>
        <v>-3.7499999999999999E-3</v>
      </c>
      <c r="Q115" s="371">
        <f t="shared" si="10"/>
        <v>-0.1053375</v>
      </c>
      <c r="R115" s="371">
        <f t="shared" si="11"/>
        <v>-0.2253375</v>
      </c>
      <c r="S115" s="371" t="e">
        <f t="shared" si="12"/>
        <v>#DIV/0!</v>
      </c>
      <c r="T115" s="371" t="e">
        <f t="shared" si="13"/>
        <v>#DIV/0!</v>
      </c>
    </row>
    <row r="116" spans="1:21" s="39" customFormat="1">
      <c r="A116" s="39">
        <v>24152</v>
      </c>
      <c r="B116" s="39" t="s">
        <v>2467</v>
      </c>
      <c r="C116" s="39" t="s">
        <v>2484</v>
      </c>
      <c r="D116" s="39" t="s">
        <v>2464</v>
      </c>
      <c r="E116" s="39">
        <v>331.8</v>
      </c>
      <c r="G116" s="376">
        <v>44817</v>
      </c>
      <c r="H116" s="365">
        <v>77</v>
      </c>
      <c r="I116" s="365" t="s">
        <v>2487</v>
      </c>
      <c r="J116" s="366" t="s">
        <v>2467</v>
      </c>
      <c r="K116" s="365">
        <v>4</v>
      </c>
      <c r="L116" s="365">
        <v>2752.7</v>
      </c>
      <c r="N116" s="367">
        <f t="shared" si="7"/>
        <v>331.1</v>
      </c>
      <c r="O116" s="39">
        <f t="shared" si="8"/>
        <v>3.3109999999999999</v>
      </c>
      <c r="P116" s="39">
        <f t="shared" si="9"/>
        <v>4.1387499999999999</v>
      </c>
      <c r="Q116" s="39">
        <f t="shared" si="10"/>
        <v>116.2574875</v>
      </c>
      <c r="R116" s="39">
        <f t="shared" si="11"/>
        <v>248.69748750000002</v>
      </c>
      <c r="S116" s="39">
        <f t="shared" si="12"/>
        <v>4.2233983906709778</v>
      </c>
      <c r="T116" s="39">
        <f t="shared" si="13"/>
        <v>9.0346745922185505</v>
      </c>
      <c r="U116" s="370">
        <f>(S116-S117)/AVERAGE(S116:S117)</f>
        <v>6.0422960725072699E-4</v>
      </c>
    </row>
    <row r="117" spans="1:21" s="39" customFormat="1">
      <c r="A117" s="39">
        <v>24153</v>
      </c>
      <c r="B117" s="39" t="s">
        <v>2467</v>
      </c>
      <c r="C117" s="39" t="s">
        <v>2485</v>
      </c>
      <c r="D117" s="39" t="s">
        <v>2464</v>
      </c>
      <c r="E117" s="39">
        <v>331.6</v>
      </c>
      <c r="G117" s="376">
        <v>44817</v>
      </c>
      <c r="H117" s="365">
        <v>77</v>
      </c>
      <c r="I117" s="365" t="s">
        <v>2487</v>
      </c>
      <c r="J117" s="366" t="s">
        <v>2467</v>
      </c>
      <c r="K117" s="365">
        <v>4</v>
      </c>
      <c r="L117" s="365">
        <v>2752.7</v>
      </c>
      <c r="M117" s="183" t="s">
        <v>2491</v>
      </c>
      <c r="N117" s="367">
        <f t="shared" si="7"/>
        <v>330.90000000000003</v>
      </c>
      <c r="O117" s="39">
        <f t="shared" si="8"/>
        <v>3.3090000000000002</v>
      </c>
      <c r="P117" s="39">
        <f t="shared" si="9"/>
        <v>4.1362500000000004</v>
      </c>
      <c r="Q117" s="39">
        <f t="shared" si="10"/>
        <v>116.18726250000002</v>
      </c>
      <c r="R117" s="39">
        <f t="shared" si="11"/>
        <v>248.54726250000004</v>
      </c>
      <c r="S117" s="39">
        <f t="shared" si="12"/>
        <v>4.2208472590547466</v>
      </c>
      <c r="T117" s="39">
        <f t="shared" si="13"/>
        <v>9.0292172230900594</v>
      </c>
    </row>
    <row r="118" spans="1:21" s="39" customFormat="1">
      <c r="A118" s="39">
        <v>24154</v>
      </c>
      <c r="B118" s="39" t="s">
        <v>2467</v>
      </c>
      <c r="C118" s="39">
        <v>78</v>
      </c>
      <c r="D118" s="39" t="s">
        <v>2464</v>
      </c>
      <c r="E118" s="39">
        <v>316</v>
      </c>
      <c r="G118" s="376">
        <v>44817</v>
      </c>
      <c r="H118" s="365">
        <v>78</v>
      </c>
      <c r="I118" s="365" t="s">
        <v>2487</v>
      </c>
      <c r="J118" s="366" t="s">
        <v>2467</v>
      </c>
      <c r="K118" s="365">
        <v>5</v>
      </c>
      <c r="L118" s="365">
        <v>2604.1999999999998</v>
      </c>
      <c r="N118" s="367">
        <f t="shared" si="7"/>
        <v>315.3</v>
      </c>
      <c r="O118" s="39">
        <f t="shared" si="8"/>
        <v>3.1530000000000005</v>
      </c>
      <c r="P118" s="39">
        <f t="shared" si="9"/>
        <v>3.9412500000000006</v>
      </c>
      <c r="Q118" s="39">
        <f t="shared" si="10"/>
        <v>110.70971250000001</v>
      </c>
      <c r="R118" s="39">
        <f t="shared" si="11"/>
        <v>236.82971250000006</v>
      </c>
      <c r="S118" s="39">
        <f t="shared" si="12"/>
        <v>4.2511985446586289</v>
      </c>
      <c r="T118" s="39">
        <f t="shared" si="13"/>
        <v>9.0941445549497004</v>
      </c>
    </row>
  </sheetData>
  <mergeCells count="19">
    <mergeCell ref="B11:D11"/>
    <mergeCell ref="F11:H11"/>
    <mergeCell ref="A2:H2"/>
    <mergeCell ref="B4:C4"/>
    <mergeCell ref="E4:H4"/>
    <mergeCell ref="B5:C5"/>
    <mergeCell ref="E5:H5"/>
    <mergeCell ref="B6:C6"/>
    <mergeCell ref="E6:H6"/>
    <mergeCell ref="B7:C7"/>
    <mergeCell ref="E7:H7"/>
    <mergeCell ref="B9:D9"/>
    <mergeCell ref="B10:D10"/>
    <mergeCell ref="F10:G10"/>
    <mergeCell ref="B12:D12"/>
    <mergeCell ref="B13:D13"/>
    <mergeCell ref="B14:D14"/>
    <mergeCell ref="B18:G22"/>
    <mergeCell ref="B24:G2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4C688-9081-40E3-B7C3-D708095F3B9B}">
  <dimension ref="A1:AR93"/>
  <sheetViews>
    <sheetView workbookViewId="0">
      <selection activeCell="AG47" sqref="AG47"/>
    </sheetView>
  </sheetViews>
  <sheetFormatPr defaultRowHeight="14.5"/>
  <cols>
    <col min="7" max="7" width="22" customWidth="1"/>
    <col min="20" max="21" width="10.7265625" bestFit="1" customWidth="1"/>
    <col min="22" max="22" width="11.1796875" customWidth="1"/>
    <col min="35" max="35" width="42" customWidth="1"/>
  </cols>
  <sheetData>
    <row r="1" spans="1:44" s="1" customFormat="1" ht="27" customHeight="1">
      <c r="A1" s="1" t="s">
        <v>183</v>
      </c>
      <c r="B1" s="1" t="s">
        <v>184</v>
      </c>
      <c r="C1" s="1" t="s">
        <v>185</v>
      </c>
      <c r="D1" s="96" t="s">
        <v>186</v>
      </c>
      <c r="E1" s="97" t="s">
        <v>187</v>
      </c>
      <c r="F1" s="131" t="s">
        <v>208</v>
      </c>
      <c r="G1" s="132" t="s">
        <v>209</v>
      </c>
      <c r="H1" s="1" t="s">
        <v>210</v>
      </c>
      <c r="I1" s="131" t="s">
        <v>211</v>
      </c>
      <c r="J1" s="133" t="s">
        <v>211</v>
      </c>
      <c r="K1" s="133" t="s">
        <v>212</v>
      </c>
      <c r="L1" s="133" t="s">
        <v>213</v>
      </c>
      <c r="M1" s="134" t="s">
        <v>214</v>
      </c>
      <c r="N1" s="134" t="s">
        <v>215</v>
      </c>
      <c r="O1" s="134" t="s">
        <v>216</v>
      </c>
      <c r="P1" s="134" t="s">
        <v>217</v>
      </c>
      <c r="Q1" s="133" t="s">
        <v>218</v>
      </c>
      <c r="R1" s="133" t="s">
        <v>219</v>
      </c>
      <c r="S1" s="133" t="s">
        <v>220</v>
      </c>
      <c r="T1" s="135" t="s">
        <v>210</v>
      </c>
      <c r="U1" s="135" t="s">
        <v>210</v>
      </c>
      <c r="V1" s="136" t="s">
        <v>221</v>
      </c>
      <c r="W1" s="1" t="s">
        <v>210</v>
      </c>
      <c r="X1" s="1" t="s">
        <v>210</v>
      </c>
      <c r="Y1" s="97" t="s">
        <v>186</v>
      </c>
      <c r="Z1" s="1" t="s">
        <v>222</v>
      </c>
      <c r="AB1" s="137" t="s">
        <v>223</v>
      </c>
      <c r="AC1" s="137" t="s">
        <v>223</v>
      </c>
      <c r="AD1" s="100" t="s">
        <v>224</v>
      </c>
      <c r="AE1" s="100" t="s">
        <v>225</v>
      </c>
      <c r="AF1" t="s">
        <v>226</v>
      </c>
      <c r="AG1" s="100" t="s">
        <v>227</v>
      </c>
      <c r="AH1" s="138" t="s">
        <v>228</v>
      </c>
      <c r="AI1" s="139" t="s">
        <v>229</v>
      </c>
      <c r="AJ1" s="140" t="s">
        <v>230</v>
      </c>
      <c r="AK1" s="133" t="s">
        <v>231</v>
      </c>
      <c r="AM1" s="49"/>
      <c r="AN1" s="141"/>
    </row>
    <row r="2" spans="1:44" ht="29.25" customHeight="1">
      <c r="A2" s="98" t="s">
        <v>198</v>
      </c>
      <c r="D2" s="99" t="s">
        <v>191</v>
      </c>
      <c r="E2" s="142" t="s">
        <v>192</v>
      </c>
      <c r="F2" s="143"/>
      <c r="G2" s="144" t="s">
        <v>232</v>
      </c>
      <c r="H2" t="s">
        <v>233</v>
      </c>
      <c r="I2" s="145" t="s">
        <v>234</v>
      </c>
      <c r="J2" s="146"/>
      <c r="K2" s="146"/>
      <c r="L2" s="147" t="s">
        <v>235</v>
      </c>
      <c r="M2" s="148" t="s">
        <v>236</v>
      </c>
      <c r="N2" s="148"/>
      <c r="O2" s="148" t="s">
        <v>237</v>
      </c>
      <c r="P2" s="148"/>
      <c r="Q2" s="146" t="s">
        <v>238</v>
      </c>
      <c r="R2" s="147"/>
      <c r="S2" s="147"/>
      <c r="T2" s="149" t="s">
        <v>239</v>
      </c>
      <c r="U2" s="149" t="s">
        <v>239</v>
      </c>
      <c r="V2" s="150" t="s">
        <v>239</v>
      </c>
      <c r="W2" t="s">
        <v>233</v>
      </c>
      <c r="X2" t="s">
        <v>233</v>
      </c>
      <c r="Y2" s="100" t="s">
        <v>240</v>
      </c>
      <c r="AB2" s="137" t="s">
        <v>241</v>
      </c>
      <c r="AC2" s="137" t="s">
        <v>242</v>
      </c>
      <c r="AD2" s="100" t="s">
        <v>243</v>
      </c>
      <c r="AE2" s="100" t="s">
        <v>243</v>
      </c>
      <c r="AF2" t="s">
        <v>223</v>
      </c>
      <c r="AG2" s="100" t="s">
        <v>223</v>
      </c>
      <c r="AH2" s="138" t="s">
        <v>223</v>
      </c>
      <c r="AI2" s="151" t="s">
        <v>244</v>
      </c>
      <c r="AJ2" s="70"/>
      <c r="AK2" s="133" t="s">
        <v>245</v>
      </c>
      <c r="AM2" s="152"/>
      <c r="AN2" s="153"/>
    </row>
    <row r="3" spans="1:44" ht="19" customHeight="1">
      <c r="A3" s="101"/>
      <c r="D3" s="99"/>
      <c r="E3" s="154" t="s">
        <v>193</v>
      </c>
      <c r="F3" s="145"/>
      <c r="G3" s="144"/>
      <c r="H3" t="s">
        <v>192</v>
      </c>
      <c r="I3" s="145" t="s">
        <v>193</v>
      </c>
      <c r="J3" s="155" t="s">
        <v>193</v>
      </c>
      <c r="K3" s="155"/>
      <c r="L3" s="156"/>
      <c r="M3" s="148" t="s">
        <v>246</v>
      </c>
      <c r="N3" s="148"/>
      <c r="O3" s="148" t="s">
        <v>246</v>
      </c>
      <c r="P3" s="148"/>
      <c r="Q3" s="147"/>
      <c r="R3" s="146" t="s">
        <v>247</v>
      </c>
      <c r="S3" s="147"/>
      <c r="T3" s="149" t="s">
        <v>248</v>
      </c>
      <c r="U3" s="149" t="s">
        <v>249</v>
      </c>
      <c r="V3" s="150" t="s">
        <v>250</v>
      </c>
      <c r="W3" t="s">
        <v>251</v>
      </c>
      <c r="X3" t="s">
        <v>251</v>
      </c>
      <c r="Y3" s="102" t="s">
        <v>252</v>
      </c>
      <c r="AB3" s="137" t="s">
        <v>246</v>
      </c>
      <c r="AC3" s="137" t="s">
        <v>246</v>
      </c>
      <c r="AD3" s="157" t="s">
        <v>246</v>
      </c>
      <c r="AE3" s="157" t="s">
        <v>246</v>
      </c>
      <c r="AF3" s="157" t="s">
        <v>246</v>
      </c>
      <c r="AG3" s="157" t="s">
        <v>246</v>
      </c>
      <c r="AH3" s="158" t="s">
        <v>246</v>
      </c>
      <c r="AI3" s="151" t="s">
        <v>253</v>
      </c>
      <c r="AJ3" s="70"/>
      <c r="AM3" s="152"/>
      <c r="AN3" s="141"/>
    </row>
    <row r="4" spans="1:44" s="1" customFormat="1" ht="18" customHeight="1">
      <c r="A4" s="103" t="s">
        <v>199</v>
      </c>
      <c r="B4" s="104"/>
      <c r="D4" s="96" t="s">
        <v>195</v>
      </c>
      <c r="E4" s="97" t="s">
        <v>196</v>
      </c>
      <c r="F4" s="131" t="s">
        <v>254</v>
      </c>
      <c r="G4" s="132"/>
      <c r="H4" s="1" t="s">
        <v>255</v>
      </c>
      <c r="I4" s="131" t="s">
        <v>256</v>
      </c>
      <c r="J4" s="133" t="s">
        <v>257</v>
      </c>
      <c r="K4" s="133"/>
      <c r="L4" s="159"/>
      <c r="M4" s="160" t="s">
        <v>258</v>
      </c>
      <c r="N4" s="134"/>
      <c r="O4" s="160" t="s">
        <v>258</v>
      </c>
      <c r="P4" s="160"/>
      <c r="Q4" s="133"/>
      <c r="R4" s="133" t="s">
        <v>259</v>
      </c>
      <c r="T4" s="135"/>
      <c r="U4" s="135"/>
      <c r="V4" s="136"/>
      <c r="W4" s="1" t="s">
        <v>255</v>
      </c>
      <c r="X4" s="1" t="s">
        <v>255</v>
      </c>
      <c r="Y4" s="97" t="s">
        <v>260</v>
      </c>
      <c r="AB4" s="137" t="s">
        <v>258</v>
      </c>
      <c r="AC4" s="137" t="s">
        <v>258</v>
      </c>
      <c r="AD4" s="100" t="s">
        <v>261</v>
      </c>
      <c r="AE4" s="100" t="s">
        <v>261</v>
      </c>
      <c r="AF4" s="137" t="s">
        <v>258</v>
      </c>
      <c r="AG4" s="137" t="s">
        <v>258</v>
      </c>
      <c r="AH4" s="158" t="s">
        <v>258</v>
      </c>
      <c r="AI4" s="139" t="s">
        <v>262</v>
      </c>
      <c r="AJ4" s="70"/>
      <c r="AM4" s="152"/>
      <c r="AN4" s="141"/>
    </row>
    <row r="5" spans="1:44" ht="13" customHeight="1">
      <c r="A5" s="1"/>
      <c r="B5" s="161"/>
      <c r="C5" s="161"/>
      <c r="D5" s="162"/>
      <c r="E5" s="142"/>
      <c r="F5" s="163"/>
      <c r="G5" s="144"/>
      <c r="H5" s="161"/>
      <c r="I5" s="163"/>
      <c r="J5" s="164"/>
      <c r="K5" s="164"/>
      <c r="L5" s="164"/>
      <c r="M5" s="165"/>
      <c r="N5" s="165"/>
      <c r="O5" s="165"/>
      <c r="P5" s="165"/>
      <c r="Q5" s="147"/>
      <c r="R5" s="166"/>
      <c r="S5" s="164"/>
      <c r="T5" s="167"/>
      <c r="U5" s="167"/>
      <c r="V5" s="168"/>
      <c r="W5" t="s">
        <v>263</v>
      </c>
      <c r="X5" t="s">
        <v>264</v>
      </c>
      <c r="Y5" s="169"/>
      <c r="Z5" s="161"/>
      <c r="AA5" s="161"/>
      <c r="AB5" s="137"/>
      <c r="AC5" s="137"/>
      <c r="AD5" s="100"/>
      <c r="AE5" s="100"/>
      <c r="AG5" s="100"/>
      <c r="AH5" s="170"/>
      <c r="AI5" s="171"/>
      <c r="AJ5" s="70"/>
      <c r="AM5" s="172"/>
      <c r="AN5" s="141"/>
    </row>
    <row r="6" spans="1:44" s="108" customFormat="1">
      <c r="A6" s="105" t="str">
        <f>'sample processing comments'!A5</f>
        <v>Deployment 24/04/2021 IN2021_V02</v>
      </c>
      <c r="B6" s="106" t="str">
        <f>'sample processing comments'!B5</f>
        <v>McLane-PARFLUX-Mark78H-21 ; frame# 2241, controller# 11640-01 and Motor # 11640-01 Cup set Dx21</v>
      </c>
      <c r="C6" s="107"/>
      <c r="E6" s="173"/>
      <c r="F6" s="109"/>
      <c r="G6" s="105"/>
      <c r="H6" s="110"/>
      <c r="I6" s="111" t="s">
        <v>197</v>
      </c>
      <c r="J6" s="112"/>
      <c r="K6" s="112"/>
      <c r="L6" s="112"/>
      <c r="M6" s="113"/>
      <c r="N6" s="113"/>
      <c r="O6" s="113"/>
      <c r="P6" s="113"/>
      <c r="Q6" s="114"/>
      <c r="R6" s="112"/>
      <c r="S6" s="112"/>
      <c r="T6" s="115"/>
      <c r="U6" s="115"/>
      <c r="V6" s="116"/>
      <c r="W6" s="117">
        <v>0</v>
      </c>
      <c r="X6" s="118"/>
      <c r="Y6" s="119"/>
      <c r="Z6" s="112"/>
      <c r="AA6" s="112"/>
      <c r="AB6" s="120"/>
      <c r="AC6" s="120"/>
      <c r="AD6" s="121"/>
      <c r="AE6" s="121"/>
      <c r="AG6" s="121"/>
      <c r="AH6" s="105"/>
      <c r="AI6" s="108" t="s">
        <v>265</v>
      </c>
      <c r="AJ6" s="111"/>
      <c r="AL6" s="112"/>
      <c r="AM6" s="122"/>
      <c r="AN6" s="123"/>
      <c r="AO6" s="112"/>
      <c r="AP6" s="112"/>
      <c r="AQ6" s="112"/>
      <c r="AR6" s="112"/>
    </row>
    <row r="7" spans="1:44">
      <c r="A7">
        <f>'sample processing comments'!A6</f>
        <v>2021</v>
      </c>
      <c r="B7" t="str">
        <f>'sample processing comments'!B6</f>
        <v>47_1000</v>
      </c>
      <c r="C7" t="str">
        <f>'sample processing comments'!C6</f>
        <v>D 1</v>
      </c>
      <c r="D7">
        <f>'sample processing comments'!D6</f>
        <v>5</v>
      </c>
      <c r="E7">
        <f>'mass filt'!V6</f>
        <v>514.7714285714286</v>
      </c>
      <c r="F7">
        <v>0.5</v>
      </c>
      <c r="G7" t="str">
        <f>'sample processing comments'!H6</f>
        <v>IN2021_V02 carboy 4 24/4/21 00:48 46˚ 45.76, 141˚ 48.66</v>
      </c>
      <c r="H7" s="143">
        <f>U7-T7</f>
        <v>17</v>
      </c>
      <c r="I7">
        <f>E7/F7/H7</f>
        <v>60.561344537815131</v>
      </c>
      <c r="J7">
        <f>0.001*365.25*E7/F7/H7</f>
        <v>22.120031092436978</v>
      </c>
      <c r="L7">
        <v>1</v>
      </c>
      <c r="M7" s="100">
        <f>'CHN raw data'!D5</f>
        <v>20.56840705871582</v>
      </c>
      <c r="N7" s="100">
        <f>'CHN raw data'!E5</f>
        <v>2.0441675186157227</v>
      </c>
      <c r="O7" s="100">
        <f>'CHN raw data'!F5</f>
        <v>2.1642990112304688</v>
      </c>
      <c r="R7">
        <f>pH_Sal!D3</f>
        <v>36.979999999999997</v>
      </c>
      <c r="S7">
        <f>pH_Sal!K3</f>
        <v>6.84</v>
      </c>
      <c r="T7" s="124">
        <f>'Schedule and logs'!E108</f>
        <v>44315</v>
      </c>
      <c r="U7" s="124">
        <f>'Schedule and logs'!E109</f>
        <v>44332</v>
      </c>
      <c r="V7" s="124">
        <f>AVERAGE(T7:U7)</f>
        <v>44323.5</v>
      </c>
      <c r="W7" s="143">
        <f>H7+W6</f>
        <v>17</v>
      </c>
      <c r="X7">
        <v>0</v>
      </c>
      <c r="AB7">
        <f>'BSi data'!S31</f>
        <v>3.0862671942872186</v>
      </c>
      <c r="AC7">
        <f>'BSi data'!T31</f>
        <v>6.6021287185731206</v>
      </c>
      <c r="AF7">
        <f>'PIC data'!AF8</f>
        <v>56.120943126948475</v>
      </c>
      <c r="AG7">
        <f>AF7*12.01/100.0869</f>
        <v>6.7342731861477496</v>
      </c>
      <c r="AH7">
        <f>M7-AG7</f>
        <v>13.834133872568071</v>
      </c>
      <c r="AI7" s="100">
        <f>AF7+(AC7*1.11)+(AH7*2.2)+3.7</f>
        <v>97.584400524214402</v>
      </c>
      <c r="AJ7" s="100"/>
      <c r="AK7" s="100">
        <f>(AH7/12.01)/(O7/14.01)</f>
        <v>7.4564110411490399</v>
      </c>
    </row>
    <row r="8" spans="1:44">
      <c r="A8">
        <f>'sample processing comments'!A7</f>
        <v>2021</v>
      </c>
      <c r="B8" t="str">
        <f>'sample processing comments'!B7</f>
        <v>47_1000</v>
      </c>
      <c r="C8">
        <f>'sample processing comments'!C7</f>
        <v>2</v>
      </c>
      <c r="D8">
        <f>'sample processing comments'!D7</f>
        <v>4</v>
      </c>
      <c r="E8">
        <f>'mass filt'!V7</f>
        <v>487.17142857142852</v>
      </c>
      <c r="F8">
        <v>0.5</v>
      </c>
      <c r="G8" t="str">
        <f>'sample processing comments'!H7</f>
        <v>IN2021_V02 carboy 4 24/4/21 00:48 46˚ 45.76, 141˚ 48.66</v>
      </c>
      <c r="H8" s="143">
        <f t="shared" ref="H8:H27" si="0">U8-T8</f>
        <v>17</v>
      </c>
      <c r="I8">
        <f t="shared" ref="I8:I27" si="1">E8/F8/H8</f>
        <v>57.31428571428571</v>
      </c>
      <c r="J8">
        <f t="shared" ref="J8:J27" si="2">0.001*365.25*E8/F8/H8</f>
        <v>20.934042857142856</v>
      </c>
      <c r="L8">
        <v>1</v>
      </c>
      <c r="M8" s="100">
        <f>'CHN raw data'!D6</f>
        <v>14.890074729919434</v>
      </c>
      <c r="N8" s="100">
        <f>'CHN raw data'!E6</f>
        <v>1.0209591388702393</v>
      </c>
      <c r="O8" s="100">
        <f>'CHN raw data'!F6</f>
        <v>0.95788174867630005</v>
      </c>
      <c r="R8">
        <f>pH_Sal!D4</f>
        <v>38.82</v>
      </c>
      <c r="S8">
        <f>pH_Sal!K4</f>
        <v>8.31</v>
      </c>
      <c r="T8" s="124">
        <f>'Schedule and logs'!E109</f>
        <v>44332</v>
      </c>
      <c r="U8" s="124">
        <f>'Schedule and logs'!E110</f>
        <v>44349</v>
      </c>
      <c r="V8" s="124">
        <f t="shared" ref="V8:V27" si="3">AVERAGE(T8:U8)</f>
        <v>44340.5</v>
      </c>
      <c r="W8" s="143">
        <f t="shared" ref="W8:W27" si="4">H8+W7</f>
        <v>34</v>
      </c>
      <c r="X8">
        <f>X7+H8</f>
        <v>17</v>
      </c>
      <c r="AB8">
        <f>'BSi data'!S32</f>
        <v>3.1883006804317224</v>
      </c>
      <c r="AC8">
        <f>'BSi data'!T32</f>
        <v>6.8203982871891142</v>
      </c>
      <c r="AF8">
        <f>'PIC data'!AF9</f>
        <v>66.974910466021313</v>
      </c>
      <c r="AG8">
        <f t="shared" ref="AG8:AG27" si="5">AF8*12.01/100.0869</f>
        <v>8.0367028521906061</v>
      </c>
      <c r="AH8">
        <f t="shared" ref="AH8:AH27" si="6">M8-AG8</f>
        <v>6.8533718777288275</v>
      </c>
      <c r="AI8" s="455">
        <f t="shared" ref="AI8:AI27" si="7">AF8+(AC8*1.11)+(AH8*2.2)+3.7</f>
        <v>93.322970695804656</v>
      </c>
      <c r="AJ8" s="100"/>
      <c r="AK8" s="100">
        <f t="shared" ref="AK8:AK27" si="8">(AH8/12.01)/(O8/14.01)</f>
        <v>8.3461757888313812</v>
      </c>
    </row>
    <row r="9" spans="1:44">
      <c r="A9">
        <f>'sample processing comments'!A8</f>
        <v>2021</v>
      </c>
      <c r="B9" t="str">
        <f>'sample processing comments'!B8</f>
        <v>47_1000</v>
      </c>
      <c r="C9">
        <f>'sample processing comments'!C8</f>
        <v>3</v>
      </c>
      <c r="D9">
        <f>'sample processing comments'!D8</f>
        <v>5</v>
      </c>
      <c r="E9">
        <f>'mass filt'!V8</f>
        <v>545.62857142857138</v>
      </c>
      <c r="F9">
        <v>0.5</v>
      </c>
      <c r="G9" t="str">
        <f>'sample processing comments'!H8</f>
        <v>IN2021_V02 carboy 4 24/4/21 00:48 46˚ 45.76, 141˚ 48.66</v>
      </c>
      <c r="H9" s="143">
        <f t="shared" si="0"/>
        <v>17</v>
      </c>
      <c r="I9">
        <f t="shared" si="1"/>
        <v>64.191596638655454</v>
      </c>
      <c r="J9">
        <f t="shared" si="2"/>
        <v>23.445980672268909</v>
      </c>
      <c r="L9">
        <v>1</v>
      </c>
      <c r="M9" s="100">
        <f>AVERAGE('CHN raw data'!D7,'CHN raw data'!D17)</f>
        <v>14.705620288848877</v>
      </c>
      <c r="N9" s="100">
        <f>AVERAGE('CHN raw data'!E7,'CHN raw data'!E17)</f>
        <v>1.0549395084381104</v>
      </c>
      <c r="O9" s="100">
        <f>AVERAGE('CHN raw data'!F7,'CHN raw data'!F17)</f>
        <v>1.0430802702903748</v>
      </c>
      <c r="Q9" t="s">
        <v>2349</v>
      </c>
      <c r="R9">
        <f>AVERAGE(pH_Sal!D5,pH_Sal!G5)</f>
        <v>38.5</v>
      </c>
      <c r="S9">
        <f>AVERAGE(pH_Sal!K5,pH_Sal!N5)</f>
        <v>8.27</v>
      </c>
      <c r="T9" s="124">
        <f>'Schedule and logs'!E110</f>
        <v>44349</v>
      </c>
      <c r="U9" s="124">
        <f>'Schedule and logs'!E111</f>
        <v>44366</v>
      </c>
      <c r="V9" s="124">
        <f t="shared" si="3"/>
        <v>44357.5</v>
      </c>
      <c r="W9" s="143">
        <f t="shared" si="4"/>
        <v>51</v>
      </c>
      <c r="X9">
        <f t="shared" ref="X9:X27" si="9">X8+H9</f>
        <v>34</v>
      </c>
      <c r="AB9">
        <f>AVERAGE('BSi data'!S33:S34)</f>
        <v>3.9690303177468964</v>
      </c>
      <c r="AC9">
        <f>AVERAGE('BSi data'!T33:T34)</f>
        <v>8.4905315697191543</v>
      </c>
      <c r="AF9">
        <f>'PIC data'!AF10</f>
        <v>64.987639329772378</v>
      </c>
      <c r="AG9">
        <f t="shared" si="5"/>
        <v>7.798238813976317</v>
      </c>
      <c r="AH9">
        <f t="shared" si="6"/>
        <v>6.9073814748725599</v>
      </c>
      <c r="AI9" s="455">
        <f t="shared" si="7"/>
        <v>93.308368616880273</v>
      </c>
      <c r="AJ9" s="100"/>
      <c r="AK9" s="100">
        <f t="shared" si="8"/>
        <v>7.7248639346837153</v>
      </c>
    </row>
    <row r="10" spans="1:44">
      <c r="A10">
        <f>'sample processing comments'!A9</f>
        <v>2021</v>
      </c>
      <c r="B10" t="str">
        <f>'sample processing comments'!B9</f>
        <v>47_1000</v>
      </c>
      <c r="C10">
        <f>'sample processing comments'!C9</f>
        <v>4</v>
      </c>
      <c r="D10">
        <f>'sample processing comments'!D9</f>
        <v>4</v>
      </c>
      <c r="E10">
        <f>'mass filt'!V9</f>
        <v>535.7714285714286</v>
      </c>
      <c r="F10">
        <v>0.5</v>
      </c>
      <c r="G10" t="str">
        <f>'sample processing comments'!H9</f>
        <v>IN2021_V02 carboy 4 24/4/21 00:48 46˚ 45.76, 141˚ 48.66</v>
      </c>
      <c r="H10" s="143">
        <f t="shared" si="0"/>
        <v>17</v>
      </c>
      <c r="I10">
        <f t="shared" si="1"/>
        <v>63.031932773109247</v>
      </c>
      <c r="J10">
        <f t="shared" si="2"/>
        <v>23.022413445378152</v>
      </c>
      <c r="L10">
        <v>1</v>
      </c>
      <c r="M10" s="100">
        <f>'CHN raw data'!D8</f>
        <v>14.667099952697754</v>
      </c>
      <c r="N10" s="100">
        <f>'CHN raw data'!E8</f>
        <v>1.012427806854248</v>
      </c>
      <c r="O10" s="100">
        <f>'CHN raw data'!F8</f>
        <v>0.99053823947906494</v>
      </c>
      <c r="R10">
        <f>pH_Sal!D6</f>
        <v>38.869999999999997</v>
      </c>
      <c r="S10">
        <f>pH_Sal!K6</f>
        <v>8.33</v>
      </c>
      <c r="T10" s="124">
        <f>'Schedule and logs'!E111</f>
        <v>44366</v>
      </c>
      <c r="U10" s="124">
        <f>'Schedule and logs'!E112</f>
        <v>44383</v>
      </c>
      <c r="V10" s="124">
        <f t="shared" si="3"/>
        <v>44374.5</v>
      </c>
      <c r="W10" s="143">
        <f t="shared" si="4"/>
        <v>68</v>
      </c>
      <c r="X10">
        <f t="shared" si="9"/>
        <v>51</v>
      </c>
      <c r="AB10">
        <f>AVERAGE('BSi data'!S35:S36)</f>
        <v>4.3893203616121266</v>
      </c>
      <c r="AC10">
        <f>AVERAGE('BSi data'!T35:T36)</f>
        <v>9.3896141163856424</v>
      </c>
      <c r="AF10">
        <f>'PIC data'!AF11</f>
        <v>68.784728071542688</v>
      </c>
      <c r="AG10">
        <f t="shared" si="5"/>
        <v>8.2538732255592659</v>
      </c>
      <c r="AH10">
        <f t="shared" si="6"/>
        <v>6.413226727138488</v>
      </c>
      <c r="AI10" s="100">
        <f t="shared" si="7"/>
        <v>97.016298540435443</v>
      </c>
      <c r="AJ10" s="100"/>
      <c r="AK10" s="100">
        <f t="shared" si="8"/>
        <v>7.5526694133302001</v>
      </c>
    </row>
    <row r="11" spans="1:44">
      <c r="A11">
        <f>'sample processing comments'!A10</f>
        <v>2021</v>
      </c>
      <c r="B11" t="str">
        <f>'sample processing comments'!B10</f>
        <v>47_1000</v>
      </c>
      <c r="C11">
        <f>'sample processing comments'!C10</f>
        <v>5</v>
      </c>
      <c r="D11">
        <f>'sample processing comments'!D10</f>
        <v>3</v>
      </c>
      <c r="E11">
        <f>'mass filt'!V10</f>
        <v>388.17142857142863</v>
      </c>
      <c r="F11">
        <v>0.5</v>
      </c>
      <c r="G11" t="str">
        <f>'sample processing comments'!H10</f>
        <v>IN2021_V02 carboy 4 24/4/21 00:48 46˚ 45.76, 141˚ 48.66</v>
      </c>
      <c r="H11" s="143">
        <f t="shared" si="0"/>
        <v>17</v>
      </c>
      <c r="I11">
        <f t="shared" si="1"/>
        <v>45.667226890756311</v>
      </c>
      <c r="J11">
        <f t="shared" si="2"/>
        <v>16.67995462184874</v>
      </c>
      <c r="L11">
        <v>1</v>
      </c>
      <c r="M11" s="100">
        <f>'CHN raw data'!D9</f>
        <v>14.313394546508789</v>
      </c>
      <c r="N11" s="100">
        <f>'CHN raw data'!E9</f>
        <v>0.92011606693267822</v>
      </c>
      <c r="O11" s="100">
        <f>'CHN raw data'!F9</f>
        <v>0.95826214551925659</v>
      </c>
      <c r="R11">
        <f>pH_Sal!D7</f>
        <v>39.18</v>
      </c>
      <c r="S11">
        <f>pH_Sal!K7</f>
        <v>8.34</v>
      </c>
      <c r="T11" s="124">
        <f>'Schedule and logs'!E112</f>
        <v>44383</v>
      </c>
      <c r="U11" s="124">
        <f>'Schedule and logs'!E113</f>
        <v>44400</v>
      </c>
      <c r="V11" s="124">
        <f t="shared" si="3"/>
        <v>44391.5</v>
      </c>
      <c r="W11" s="143">
        <f t="shared" si="4"/>
        <v>85</v>
      </c>
      <c r="X11">
        <f t="shared" si="9"/>
        <v>68</v>
      </c>
      <c r="AB11">
        <f>'BSi data'!S37</f>
        <v>4.168429664737987</v>
      </c>
      <c r="AC11">
        <f>'BSi data'!T37</f>
        <v>8.9170857441831846</v>
      </c>
      <c r="AF11">
        <f>'PIC data'!AF12</f>
        <v>69.320550402314936</v>
      </c>
      <c r="AG11">
        <f t="shared" si="5"/>
        <v>8.3181696139235246</v>
      </c>
      <c r="AH11">
        <f t="shared" si="6"/>
        <v>5.9952249325852645</v>
      </c>
      <c r="AI11" s="100">
        <f t="shared" si="7"/>
        <v>96.108010430045866</v>
      </c>
      <c r="AJ11" s="100"/>
      <c r="AK11" s="100">
        <f t="shared" si="8"/>
        <v>7.2982086831896993</v>
      </c>
    </row>
    <row r="12" spans="1:44">
      <c r="A12">
        <f>'sample processing comments'!A11</f>
        <v>2021</v>
      </c>
      <c r="B12" t="str">
        <f>'sample processing comments'!B11</f>
        <v>47_1000</v>
      </c>
      <c r="C12">
        <f>'sample processing comments'!C11</f>
        <v>6</v>
      </c>
      <c r="D12">
        <f>'sample processing comments'!D11</f>
        <v>3</v>
      </c>
      <c r="E12">
        <f>'mass filt'!V11</f>
        <v>269.90000000000003</v>
      </c>
      <c r="F12">
        <v>0.5</v>
      </c>
      <c r="G12" t="str">
        <f>'sample processing comments'!H11</f>
        <v>IN2021_V02 carboy 4 24/4/21 00:48 46˚ 45.76, 141˚ 48.66</v>
      </c>
      <c r="H12" s="143">
        <f t="shared" si="0"/>
        <v>17</v>
      </c>
      <c r="I12">
        <f t="shared" si="1"/>
        <v>31.752941176470593</v>
      </c>
      <c r="J12">
        <f t="shared" si="2"/>
        <v>11.597761764705885</v>
      </c>
      <c r="L12">
        <v>1</v>
      </c>
      <c r="M12" s="100">
        <f>'CHN raw data'!D10</f>
        <v>15.565558433532715</v>
      </c>
      <c r="N12" s="100">
        <f>'CHN raw data'!E10</f>
        <v>1.1709853410720825</v>
      </c>
      <c r="O12" s="100">
        <f>'CHN raw data'!F10</f>
        <v>1.298827052116394</v>
      </c>
      <c r="R12">
        <f>pH_Sal!D8</f>
        <v>40.200000000000003</v>
      </c>
      <c r="S12">
        <f>pH_Sal!K8</f>
        <v>8.39</v>
      </c>
      <c r="T12" s="124">
        <f>'Schedule and logs'!E113</f>
        <v>44400</v>
      </c>
      <c r="U12" s="124">
        <f>'Schedule and logs'!E114</f>
        <v>44417</v>
      </c>
      <c r="V12" s="124">
        <f t="shared" si="3"/>
        <v>44408.5</v>
      </c>
      <c r="W12" s="143">
        <f t="shared" si="4"/>
        <v>102</v>
      </c>
      <c r="X12">
        <f t="shared" si="9"/>
        <v>85</v>
      </c>
      <c r="AB12">
        <f>'BSi data'!S38</f>
        <v>3.7565045903808771</v>
      </c>
      <c r="AC12">
        <f>'BSi data'!T38</f>
        <v>8.0358975021711263</v>
      </c>
      <c r="AF12">
        <f>'PIC data'!AF13</f>
        <v>65.517171440981187</v>
      </c>
      <c r="AG12">
        <f t="shared" si="5"/>
        <v>7.8617804028917284</v>
      </c>
      <c r="AH12">
        <f t="shared" si="6"/>
        <v>7.7037780306409864</v>
      </c>
      <c r="AI12" s="100">
        <f t="shared" si="7"/>
        <v>95.085329335801305</v>
      </c>
      <c r="AJ12" s="100"/>
      <c r="AK12" s="100">
        <f t="shared" si="8"/>
        <v>6.9190674330596851</v>
      </c>
    </row>
    <row r="13" spans="1:44">
      <c r="A13">
        <f>'sample processing comments'!A12</f>
        <v>2021</v>
      </c>
      <c r="B13" t="str">
        <f>'sample processing comments'!B12</f>
        <v>47_1000</v>
      </c>
      <c r="C13">
        <f>'sample processing comments'!C12</f>
        <v>7</v>
      </c>
      <c r="D13">
        <f>'sample processing comments'!D12</f>
        <v>3</v>
      </c>
      <c r="E13">
        <f>'mass filt'!V12</f>
        <v>211.95714285714286</v>
      </c>
      <c r="F13">
        <v>0.5</v>
      </c>
      <c r="G13" t="str">
        <f>'sample processing comments'!H12</f>
        <v>IN2021_V02 carboy 4 24/4/21 00:48 46˚ 45.76, 141˚ 48.66</v>
      </c>
      <c r="H13" s="143">
        <f t="shared" si="0"/>
        <v>17</v>
      </c>
      <c r="I13">
        <f t="shared" si="1"/>
        <v>24.936134453781513</v>
      </c>
      <c r="J13">
        <f t="shared" si="2"/>
        <v>9.1079231092436981</v>
      </c>
      <c r="L13">
        <v>1</v>
      </c>
      <c r="M13" s="100">
        <f>'CHN raw data'!D11</f>
        <v>15.803086280822754</v>
      </c>
      <c r="N13" s="100">
        <f>'CHN raw data'!E11</f>
        <v>1.1711995601654053</v>
      </c>
      <c r="O13" s="100">
        <f>'CHN raw data'!F11</f>
        <v>1.2252254486083984</v>
      </c>
      <c r="R13">
        <f>pH_Sal!D9</f>
        <v>39.86</v>
      </c>
      <c r="S13">
        <f>pH_Sal!K9</f>
        <v>8.4499999999999993</v>
      </c>
      <c r="T13" s="124">
        <f>'Schedule and logs'!E114</f>
        <v>44417</v>
      </c>
      <c r="U13" s="124">
        <f>'Schedule and logs'!E115</f>
        <v>44434</v>
      </c>
      <c r="V13" s="124">
        <f t="shared" si="3"/>
        <v>44425.5</v>
      </c>
      <c r="W13" s="143">
        <f t="shared" si="4"/>
        <v>119</v>
      </c>
      <c r="X13">
        <f t="shared" si="9"/>
        <v>102</v>
      </c>
      <c r="AB13">
        <f>'BSi data'!S39</f>
        <v>4.1312824461490774</v>
      </c>
      <c r="AC13">
        <f>'BSi data'!T39</f>
        <v>8.8376205834495583</v>
      </c>
      <c r="AF13">
        <f>'PIC data'!AF14</f>
        <v>65.66783502200586</v>
      </c>
      <c r="AG13">
        <f t="shared" si="5"/>
        <v>7.8798593883344408</v>
      </c>
      <c r="AH13">
        <f t="shared" si="6"/>
        <v>7.9232268924883131</v>
      </c>
      <c r="AI13" s="100">
        <f t="shared" si="7"/>
        <v>96.608693033109162</v>
      </c>
      <c r="AJ13" s="100"/>
      <c r="AK13" s="100">
        <f t="shared" si="8"/>
        <v>7.5436444668186189</v>
      </c>
    </row>
    <row r="14" spans="1:44">
      <c r="A14">
        <f>'sample processing comments'!A13</f>
        <v>2021</v>
      </c>
      <c r="B14" t="str">
        <f>'sample processing comments'!B13</f>
        <v>47_1000</v>
      </c>
      <c r="C14">
        <f>'sample processing comments'!C13</f>
        <v>8</v>
      </c>
      <c r="D14">
        <f>'sample processing comments'!D13</f>
        <v>4</v>
      </c>
      <c r="E14">
        <f>'mass filt'!V13</f>
        <v>341.81428571428569</v>
      </c>
      <c r="F14">
        <v>0.5</v>
      </c>
      <c r="G14" t="str">
        <f>'sample processing comments'!H13</f>
        <v>IN2021_V02 carboy 4 24/4/21 00:48 46˚ 45.76, 141˚ 48.66</v>
      </c>
      <c r="H14" s="143">
        <f t="shared" si="0"/>
        <v>17</v>
      </c>
      <c r="I14">
        <f t="shared" si="1"/>
        <v>40.213445378151256</v>
      </c>
      <c r="J14">
        <f t="shared" si="2"/>
        <v>14.687960924369747</v>
      </c>
      <c r="L14">
        <v>1</v>
      </c>
      <c r="M14" s="100">
        <f>'CHN raw data'!D12</f>
        <v>15.173642158508301</v>
      </c>
      <c r="N14" s="100">
        <f>'CHN raw data'!E12</f>
        <v>1.1175539493560791</v>
      </c>
      <c r="O14" s="100">
        <f>'CHN raw data'!F12</f>
        <v>1.0614129304885864</v>
      </c>
      <c r="R14">
        <f>pH_Sal!D10</f>
        <v>39.68</v>
      </c>
      <c r="S14">
        <f>pH_Sal!K10</f>
        <v>8.41</v>
      </c>
      <c r="T14" s="124">
        <f>'Schedule and logs'!E115</f>
        <v>44434</v>
      </c>
      <c r="U14" s="124">
        <f>'Schedule and logs'!E116</f>
        <v>44451</v>
      </c>
      <c r="V14" s="124">
        <f t="shared" si="3"/>
        <v>44442.5</v>
      </c>
      <c r="W14" s="143">
        <f t="shared" si="4"/>
        <v>136</v>
      </c>
      <c r="X14">
        <f t="shared" si="9"/>
        <v>119</v>
      </c>
      <c r="AB14">
        <f>'BSi data'!S40</f>
        <v>4.6401353539620516</v>
      </c>
      <c r="AC14">
        <f>'BSi data'!T40</f>
        <v>9.9261564051114171</v>
      </c>
      <c r="AF14">
        <f>'PIC data'!AF15</f>
        <v>63.806344296063763</v>
      </c>
      <c r="AG14">
        <f t="shared" si="5"/>
        <v>7.6564884614842281</v>
      </c>
      <c r="AH14">
        <f t="shared" si="6"/>
        <v>7.5171536970240727</v>
      </c>
      <c r="AI14" s="100">
        <f t="shared" si="7"/>
        <v>95.0621160391904</v>
      </c>
      <c r="AJ14" s="100"/>
      <c r="AK14" s="100">
        <f t="shared" si="8"/>
        <v>8.261600377040347</v>
      </c>
    </row>
    <row r="15" spans="1:44">
      <c r="A15">
        <f>'sample processing comments'!A14</f>
        <v>2021</v>
      </c>
      <c r="B15" t="str">
        <f>'sample processing comments'!B14</f>
        <v>47_1000</v>
      </c>
      <c r="C15">
        <f>'sample processing comments'!C14</f>
        <v>9</v>
      </c>
      <c r="D15">
        <f>'sample processing comments'!D14</f>
        <v>4</v>
      </c>
      <c r="E15">
        <f>'mass filt'!V14</f>
        <v>545.68571428571431</v>
      </c>
      <c r="F15">
        <v>0.5</v>
      </c>
      <c r="G15" t="str">
        <f>'sample processing comments'!H14</f>
        <v>IN2021_V02 carboy 4 24/4/21 00:48 46˚ 45.76, 141˚ 48.66</v>
      </c>
      <c r="H15" s="143">
        <f t="shared" si="0"/>
        <v>17</v>
      </c>
      <c r="I15">
        <f t="shared" si="1"/>
        <v>64.198319327731099</v>
      </c>
      <c r="J15">
        <f t="shared" si="2"/>
        <v>23.448436134453782</v>
      </c>
      <c r="L15">
        <v>1</v>
      </c>
      <c r="M15" s="100">
        <f>'CHN raw data'!D13</f>
        <v>14.787942886352539</v>
      </c>
      <c r="N15" s="100">
        <f>'CHN raw data'!E13</f>
        <v>1.0226260423660278</v>
      </c>
      <c r="O15" s="100">
        <f>'CHN raw data'!F13</f>
        <v>1.0802805423736572</v>
      </c>
      <c r="R15">
        <f>pH_Sal!D11</f>
        <v>39.17</v>
      </c>
      <c r="S15">
        <f>pH_Sal!K11</f>
        <v>8.2899999999999991</v>
      </c>
      <c r="T15" s="124">
        <f>'Schedule and logs'!E116</f>
        <v>44451</v>
      </c>
      <c r="U15" s="124">
        <f>'Schedule and logs'!E117</f>
        <v>44468</v>
      </c>
      <c r="V15" s="124">
        <f t="shared" si="3"/>
        <v>44459.5</v>
      </c>
      <c r="W15" s="143">
        <f t="shared" si="4"/>
        <v>153</v>
      </c>
      <c r="X15">
        <f t="shared" si="9"/>
        <v>136</v>
      </c>
      <c r="AB15">
        <f>'BSi data'!S41</f>
        <v>4.4787523500081745</v>
      </c>
      <c r="AC15">
        <f>'BSi data'!T41</f>
        <v>9.5809266184404134</v>
      </c>
      <c r="AF15">
        <f>'PIC data'!AF16</f>
        <v>65.736349840707874</v>
      </c>
      <c r="AG15">
        <f t="shared" si="5"/>
        <v>7.8880808735898666</v>
      </c>
      <c r="AH15">
        <f t="shared" si="6"/>
        <v>6.8998620127626724</v>
      </c>
      <c r="AI15" s="100">
        <f t="shared" si="7"/>
        <v>95.250874815254619</v>
      </c>
      <c r="AJ15" s="100"/>
      <c r="AK15" s="100">
        <f t="shared" si="8"/>
        <v>7.4507326411397337</v>
      </c>
    </row>
    <row r="16" spans="1:44">
      <c r="A16">
        <f>'sample processing comments'!A15</f>
        <v>2021</v>
      </c>
      <c r="B16" t="str">
        <f>'sample processing comments'!B15</f>
        <v>47_1000</v>
      </c>
      <c r="C16">
        <f>'sample processing comments'!C15</f>
        <v>10</v>
      </c>
      <c r="D16">
        <f>'sample processing comments'!D15</f>
        <v>3</v>
      </c>
      <c r="E16">
        <f>'mass filt'!V15</f>
        <v>442.28571428571433</v>
      </c>
      <c r="F16">
        <v>0.5</v>
      </c>
      <c r="G16" t="str">
        <f>'sample processing comments'!H15</f>
        <v>IN2021_V02 carboy 4 24/4/21 00:48 46˚ 45.76, 141˚ 48.66</v>
      </c>
      <c r="H16" s="143">
        <f t="shared" si="0"/>
        <v>17</v>
      </c>
      <c r="I16">
        <f t="shared" si="1"/>
        <v>52.033613445378158</v>
      </c>
      <c r="J16">
        <f t="shared" si="2"/>
        <v>19.005277310924374</v>
      </c>
      <c r="L16">
        <v>1</v>
      </c>
      <c r="M16" s="100">
        <f>'CHN raw data'!D14</f>
        <v>15.11461353302002</v>
      </c>
      <c r="N16" s="100">
        <f>'CHN raw data'!E14</f>
        <v>1.067451000213623</v>
      </c>
      <c r="O16" s="100">
        <f>'CHN raw data'!F14</f>
        <v>1.1763032674789429</v>
      </c>
      <c r="R16">
        <f>pH_Sal!D12</f>
        <v>39.39</v>
      </c>
      <c r="S16">
        <f>pH_Sal!K12</f>
        <v>8.39</v>
      </c>
      <c r="T16" s="124">
        <f>'Schedule and logs'!E117</f>
        <v>44468</v>
      </c>
      <c r="U16" s="124">
        <f>'Schedule and logs'!E118</f>
        <v>44485</v>
      </c>
      <c r="V16" s="124">
        <f t="shared" si="3"/>
        <v>44476.5</v>
      </c>
      <c r="W16" s="143">
        <f t="shared" si="4"/>
        <v>170</v>
      </c>
      <c r="X16">
        <f t="shared" si="9"/>
        <v>153</v>
      </c>
      <c r="AB16">
        <f>'BSi data'!S45</f>
        <v>4.4350123594416448</v>
      </c>
      <c r="AC16">
        <f>'BSi data'!T45</f>
        <v>9.4873582299340846</v>
      </c>
      <c r="AF16">
        <f>'PIC data'!AF17</f>
        <v>64.732972644842263</v>
      </c>
      <c r="AG16">
        <f t="shared" si="5"/>
        <v>7.7676799008117499</v>
      </c>
      <c r="AH16">
        <f t="shared" si="6"/>
        <v>7.3469336322082697</v>
      </c>
      <c r="AI16" s="100">
        <f t="shared" si="7"/>
        <v>95.127194270927291</v>
      </c>
      <c r="AJ16" s="100"/>
      <c r="AK16" s="100">
        <f t="shared" si="8"/>
        <v>7.2858787780640624</v>
      </c>
    </row>
    <row r="17" spans="1:37">
      <c r="A17">
        <f>'sample processing comments'!A16</f>
        <v>2021</v>
      </c>
      <c r="B17" t="str">
        <f>'sample processing comments'!B16</f>
        <v>47_1000</v>
      </c>
      <c r="C17">
        <f>'sample processing comments'!C16</f>
        <v>11</v>
      </c>
      <c r="D17">
        <f>'sample processing comments'!D16</f>
        <v>4</v>
      </c>
      <c r="E17">
        <f>'mass filt'!V16</f>
        <v>709.81428571428569</v>
      </c>
      <c r="F17">
        <v>0.5</v>
      </c>
      <c r="G17" t="str">
        <f>'sample processing comments'!H16</f>
        <v>IN2021_V02 carboy 4 24/4/21 00:48 46˚ 45.76, 141˚ 48.66 + IN2021_V02 carboy 3 24/4/21 00:27 46˚ 45.46, 141˚ 49.46</v>
      </c>
      <c r="H17" s="143">
        <f t="shared" si="0"/>
        <v>17</v>
      </c>
      <c r="I17">
        <f t="shared" si="1"/>
        <v>83.507563025210075</v>
      </c>
      <c r="J17">
        <f t="shared" si="2"/>
        <v>30.501137394957983</v>
      </c>
      <c r="L17">
        <v>1</v>
      </c>
      <c r="M17" s="100">
        <f>'CHN raw data'!D15</f>
        <v>14.714103698730469</v>
      </c>
      <c r="N17" s="100">
        <f>'CHN raw data'!E15</f>
        <v>0.95217853784561157</v>
      </c>
      <c r="O17" s="100">
        <f>'CHN raw data'!F15</f>
        <v>0.9054645299911499</v>
      </c>
      <c r="R17">
        <f>pH_Sal!D13</f>
        <v>39.54</v>
      </c>
      <c r="S17">
        <f>pH_Sal!K13</f>
        <v>8.2899999999999991</v>
      </c>
      <c r="T17" s="124">
        <f>'Schedule and logs'!E118</f>
        <v>44485</v>
      </c>
      <c r="U17" s="124">
        <f>'Schedule and logs'!E119</f>
        <v>44502</v>
      </c>
      <c r="V17" s="124">
        <f t="shared" si="3"/>
        <v>44493.5</v>
      </c>
      <c r="W17" s="143">
        <f t="shared" si="4"/>
        <v>187</v>
      </c>
      <c r="X17">
        <f t="shared" si="9"/>
        <v>170</v>
      </c>
      <c r="AB17">
        <f>'BSi data'!S46</f>
        <v>4.0382413123801513</v>
      </c>
      <c r="AC17">
        <f>'BSi data'!T46</f>
        <v>8.6385874140592129</v>
      </c>
      <c r="AF17">
        <f>'PIC data'!AF18</f>
        <v>70.426733387976356</v>
      </c>
      <c r="AG17">
        <f t="shared" si="5"/>
        <v>8.4509068418503919</v>
      </c>
      <c r="AH17">
        <f t="shared" si="6"/>
        <v>6.2631968568800769</v>
      </c>
      <c r="AI17" s="100">
        <f t="shared" si="7"/>
        <v>97.494598502718262</v>
      </c>
      <c r="AJ17" s="100"/>
      <c r="AK17" s="100">
        <f t="shared" si="8"/>
        <v>8.0690005997429264</v>
      </c>
    </row>
    <row r="18" spans="1:37">
      <c r="A18">
        <f>'sample processing comments'!A17</f>
        <v>2021</v>
      </c>
      <c r="B18" t="str">
        <f>'sample processing comments'!B17</f>
        <v>47_1000</v>
      </c>
      <c r="C18">
        <f>'sample processing comments'!C17</f>
        <v>12</v>
      </c>
      <c r="D18">
        <f>'sample processing comments'!D17</f>
        <v>6</v>
      </c>
      <c r="E18">
        <f>'mass filt'!V17</f>
        <v>856.17142857142858</v>
      </c>
      <c r="F18">
        <v>0.5</v>
      </c>
      <c r="G18" t="str">
        <f>'sample processing comments'!H17</f>
        <v>IN2021_V02 carboy 3 24/4/21 00:27 46˚ 45.46, 141˚ 49.46</v>
      </c>
      <c r="H18" s="143">
        <f t="shared" si="0"/>
        <v>17</v>
      </c>
      <c r="I18">
        <f t="shared" si="1"/>
        <v>100.72605042016806</v>
      </c>
      <c r="J18">
        <f>0.001*365.25*E18/F18/H18</f>
        <v>36.790189915966387</v>
      </c>
      <c r="L18">
        <v>1</v>
      </c>
      <c r="M18" s="100">
        <f>'CHN raw data'!D18</f>
        <v>14.692148208618164</v>
      </c>
      <c r="N18" s="100">
        <f>'CHN raw data'!E18</f>
        <v>0.99670934677124023</v>
      </c>
      <c r="O18" s="100">
        <f>'CHN raw data'!F18</f>
        <v>0.9205707311630249</v>
      </c>
      <c r="Q18" t="s">
        <v>2349</v>
      </c>
      <c r="R18">
        <f>AVERAGE(pH_Sal!D14,pH_Sal!G14)</f>
        <v>39.56</v>
      </c>
      <c r="S18">
        <f>AVERAGE(pH_Sal!K14,pH_Sal!N14)</f>
        <v>8.27</v>
      </c>
      <c r="T18" s="124">
        <f>'Schedule and logs'!E119</f>
        <v>44502</v>
      </c>
      <c r="U18" s="124">
        <f>'Schedule and logs'!E120</f>
        <v>44519</v>
      </c>
      <c r="V18" s="124">
        <f t="shared" si="3"/>
        <v>44510.5</v>
      </c>
      <c r="W18" s="143">
        <f t="shared" si="4"/>
        <v>204</v>
      </c>
      <c r="X18">
        <f t="shared" si="9"/>
        <v>187</v>
      </c>
      <c r="AB18">
        <f>'BSi data'!S47</f>
        <v>4.1026918216284525</v>
      </c>
      <c r="AC18">
        <f>'BSi data'!T47</f>
        <v>8.7764596497562746</v>
      </c>
      <c r="AF18">
        <f>'PIC data'!AF19</f>
        <v>70.183909385582183</v>
      </c>
      <c r="AG18">
        <f t="shared" si="5"/>
        <v>8.4217689999474654</v>
      </c>
      <c r="AH18">
        <f t="shared" si="6"/>
        <v>6.2703792086706986</v>
      </c>
      <c r="AI18" s="100">
        <f t="shared" si="7"/>
        <v>97.420613855887197</v>
      </c>
      <c r="AJ18" s="100"/>
      <c r="AK18" s="100">
        <f t="shared" si="8"/>
        <v>7.9456928203741919</v>
      </c>
    </row>
    <row r="19" spans="1:37">
      <c r="A19">
        <f>'sample processing comments'!A18</f>
        <v>2021</v>
      </c>
      <c r="B19" t="str">
        <f>'sample processing comments'!B18</f>
        <v>47_1000</v>
      </c>
      <c r="C19">
        <f>'sample processing comments'!C18</f>
        <v>13</v>
      </c>
      <c r="D19">
        <f>'sample processing comments'!D18</f>
        <v>6</v>
      </c>
      <c r="E19">
        <f>'mass filt'!V19</f>
        <v>952.97142857142853</v>
      </c>
      <c r="F19">
        <v>0.5</v>
      </c>
      <c r="G19" t="str">
        <f>'sample processing comments'!H18</f>
        <v>IN2021_V02 carboy 3 24/4/21 00:27 46˚ 45.46, 141˚ 49.46</v>
      </c>
      <c r="H19" s="143">
        <f t="shared" si="0"/>
        <v>17</v>
      </c>
      <c r="I19">
        <f t="shared" si="1"/>
        <v>112.11428571428571</v>
      </c>
      <c r="J19">
        <f t="shared" si="2"/>
        <v>40.949742857142859</v>
      </c>
      <c r="L19">
        <v>1</v>
      </c>
      <c r="M19" s="100">
        <f>'CHN raw data'!D19</f>
        <v>13.898073196411133</v>
      </c>
      <c r="N19" s="100">
        <f>'CHN raw data'!E19</f>
        <v>0.87429237365722656</v>
      </c>
      <c r="O19" s="100">
        <f>'CHN raw data'!F19</f>
        <v>0.75366872549057007</v>
      </c>
      <c r="R19">
        <f>pH_Sal!D15</f>
        <v>39.83</v>
      </c>
      <c r="S19">
        <f>pH_Sal!K15</f>
        <v>8.2799999999999994</v>
      </c>
      <c r="T19" s="124">
        <f>'Schedule and logs'!E120</f>
        <v>44519</v>
      </c>
      <c r="U19" s="124">
        <f>'Schedule and logs'!E121</f>
        <v>44536</v>
      </c>
      <c r="V19" s="124">
        <f t="shared" si="3"/>
        <v>44527.5</v>
      </c>
      <c r="W19" s="143">
        <f t="shared" si="4"/>
        <v>221</v>
      </c>
      <c r="X19">
        <f t="shared" si="9"/>
        <v>204</v>
      </c>
      <c r="AB19">
        <f>'BSi data'!S48</f>
        <v>4.9123722366108593</v>
      </c>
      <c r="AC19">
        <f>'BSi data'!T48</f>
        <v>10.508524303949681</v>
      </c>
      <c r="AF19">
        <f>'PIC data'!AF20</f>
        <v>70.841903670914732</v>
      </c>
      <c r="AG19">
        <f t="shared" si="5"/>
        <v>8.5007255004169959</v>
      </c>
      <c r="AH19">
        <f t="shared" si="6"/>
        <v>5.3973476959941369</v>
      </c>
      <c r="AI19" s="100">
        <f t="shared" si="7"/>
        <v>98.080530579485995</v>
      </c>
      <c r="AJ19" s="100"/>
      <c r="AK19" s="100">
        <f t="shared" si="8"/>
        <v>8.3540107542298472</v>
      </c>
    </row>
    <row r="20" spans="1:37">
      <c r="A20">
        <f>'sample processing comments'!A19</f>
        <v>2021</v>
      </c>
      <c r="B20" t="str">
        <f>'sample processing comments'!B19</f>
        <v>47_1000</v>
      </c>
      <c r="C20">
        <f>'sample processing comments'!C19</f>
        <v>14</v>
      </c>
      <c r="D20">
        <f>'sample processing comments'!D19</f>
        <v>6</v>
      </c>
      <c r="E20">
        <f>'mass filt'!V20</f>
        <v>799.78571428571422</v>
      </c>
      <c r="F20">
        <v>0.5</v>
      </c>
      <c r="G20" t="str">
        <f>'sample processing comments'!H19</f>
        <v>IN2021_V02 carboy 3 24/4/21 00:27 46˚ 45.46, 141˚ 49.46</v>
      </c>
      <c r="H20" s="143">
        <f t="shared" si="0"/>
        <v>17</v>
      </c>
      <c r="I20">
        <f t="shared" si="1"/>
        <v>94.092436974789905</v>
      </c>
      <c r="J20">
        <f t="shared" si="2"/>
        <v>34.367262605042015</v>
      </c>
      <c r="L20">
        <v>1</v>
      </c>
      <c r="M20" s="100">
        <f>'CHN raw data'!D20</f>
        <v>12.57647705078125</v>
      </c>
      <c r="N20" s="100">
        <f>'CHN raw data'!E20</f>
        <v>0.82349890470504761</v>
      </c>
      <c r="O20" s="100">
        <f>'CHN raw data'!F20</f>
        <v>0.63573765754699707</v>
      </c>
      <c r="R20">
        <f>pH_Sal!D16</f>
        <v>39.880000000000003</v>
      </c>
      <c r="S20">
        <f>pH_Sal!K16</f>
        <v>8.25</v>
      </c>
      <c r="T20" s="124">
        <f>'Schedule and logs'!E121</f>
        <v>44536</v>
      </c>
      <c r="U20" s="124">
        <f>'Schedule and logs'!E122</f>
        <v>44553</v>
      </c>
      <c r="V20" s="124">
        <f t="shared" si="3"/>
        <v>44544.5</v>
      </c>
      <c r="W20" s="143">
        <f t="shared" si="4"/>
        <v>238</v>
      </c>
      <c r="X20">
        <f t="shared" si="9"/>
        <v>221</v>
      </c>
      <c r="AB20">
        <f>'BSi data'!S49</f>
        <v>7.8465837775509435</v>
      </c>
      <c r="AC20">
        <f>'BSi data'!T49</f>
        <v>16.785376261767045</v>
      </c>
      <c r="AF20">
        <f>'PIC data'!AF21</f>
        <v>67.377102513891231</v>
      </c>
      <c r="AG20">
        <f t="shared" si="5"/>
        <v>8.0849641780476134</v>
      </c>
      <c r="AH20">
        <f t="shared" si="6"/>
        <v>4.4915128727336366</v>
      </c>
      <c r="AI20" s="100">
        <f t="shared" si="7"/>
        <v>99.590198484466654</v>
      </c>
      <c r="AJ20" s="100"/>
      <c r="AK20" s="100">
        <f t="shared" si="8"/>
        <v>8.2415678660990785</v>
      </c>
    </row>
    <row r="21" spans="1:37">
      <c r="A21">
        <f>'sample processing comments'!A20</f>
        <v>2021</v>
      </c>
      <c r="B21" t="str">
        <f>'sample processing comments'!B20</f>
        <v>47_1000</v>
      </c>
      <c r="C21">
        <f>'sample processing comments'!C20</f>
        <v>15</v>
      </c>
      <c r="D21">
        <f>'sample processing comments'!D20</f>
        <v>20</v>
      </c>
      <c r="E21">
        <f>'mass filt'!V21</f>
        <v>1020.6428571428571</v>
      </c>
      <c r="F21">
        <v>0.5</v>
      </c>
      <c r="G21" t="str">
        <f>'sample processing comments'!H20</f>
        <v>IN2021_V02 carboy 3 24/4/21 00:27 46˚ 45.46, 141˚ 49.46</v>
      </c>
      <c r="H21" s="143">
        <f t="shared" si="0"/>
        <v>17</v>
      </c>
      <c r="I21">
        <f t="shared" si="1"/>
        <v>120.07563025210084</v>
      </c>
      <c r="J21">
        <f t="shared" si="2"/>
        <v>43.857623949579832</v>
      </c>
      <c r="L21">
        <v>1</v>
      </c>
      <c r="M21" s="100">
        <f>'CHN raw data'!D21</f>
        <v>12.243984222412109</v>
      </c>
      <c r="N21" s="100">
        <f>'CHN raw data'!E21</f>
        <v>1.0269023180007935</v>
      </c>
      <c r="O21" s="100">
        <f>'CHN raw data'!F21</f>
        <v>0.80138421058654785</v>
      </c>
      <c r="R21">
        <f>pH_Sal!D17</f>
        <v>39.67</v>
      </c>
      <c r="S21">
        <f>pH_Sal!K17</f>
        <v>8.17</v>
      </c>
      <c r="T21" s="124">
        <f>'Schedule and logs'!E122</f>
        <v>44553</v>
      </c>
      <c r="U21" s="124">
        <f>'Schedule and logs'!E123</f>
        <v>44570</v>
      </c>
      <c r="V21" s="124">
        <f t="shared" si="3"/>
        <v>44561.5</v>
      </c>
      <c r="W21" s="143">
        <f t="shared" si="4"/>
        <v>255</v>
      </c>
      <c r="X21">
        <f t="shared" si="9"/>
        <v>238</v>
      </c>
      <c r="AB21">
        <f>'BSi data'!S50</f>
        <v>11.229417824822235</v>
      </c>
      <c r="AC21">
        <f>'BSi data'!T50</f>
        <v>24.021919440853264</v>
      </c>
      <c r="AF21">
        <f>'PIC data'!AF22</f>
        <v>56.313374554336235</v>
      </c>
      <c r="AG21">
        <f t="shared" si="5"/>
        <v>6.7573641345428639</v>
      </c>
      <c r="AH21">
        <f t="shared" si="6"/>
        <v>5.4866200878692455</v>
      </c>
      <c r="AI21" s="100">
        <f t="shared" si="7"/>
        <v>98.748269326995697</v>
      </c>
      <c r="AJ21" s="100"/>
      <c r="AK21" s="100">
        <f t="shared" si="8"/>
        <v>7.9865503819014094</v>
      </c>
    </row>
    <row r="22" spans="1:37">
      <c r="A22">
        <f>'sample processing comments'!A21</f>
        <v>2021</v>
      </c>
      <c r="B22" t="str">
        <f>'sample processing comments'!B21</f>
        <v>47_1000</v>
      </c>
      <c r="C22">
        <f>'sample processing comments'!C21</f>
        <v>16</v>
      </c>
      <c r="D22">
        <f>'sample processing comments'!D21</f>
        <v>50</v>
      </c>
      <c r="E22">
        <f>'mass filt'!V22</f>
        <v>1866.1142857142859</v>
      </c>
      <c r="F22">
        <v>0.5</v>
      </c>
      <c r="G22" t="str">
        <f>'sample processing comments'!H21</f>
        <v>IN2021_V02 carboy 3 24/4/21 00:27 46˚ 45.46, 141˚ 49.46</v>
      </c>
      <c r="H22" s="143">
        <f t="shared" si="0"/>
        <v>17</v>
      </c>
      <c r="I22">
        <f t="shared" si="1"/>
        <v>219.54285714285717</v>
      </c>
      <c r="J22">
        <f t="shared" si="2"/>
        <v>80.188028571428589</v>
      </c>
      <c r="L22">
        <v>1</v>
      </c>
      <c r="M22" s="100">
        <f>AVERAGE('CHN raw data'!D22,'CHN raw data'!D24)</f>
        <v>14.159707069396973</v>
      </c>
      <c r="N22" s="100">
        <f>AVERAGE('CHN raw data'!E22,'CHN raw data'!E24)</f>
        <v>1.7371630668640137</v>
      </c>
      <c r="O22" s="100">
        <f>AVERAGE('CHN raw data'!F22,'CHN raw data'!F24)</f>
        <v>1.3837199807167053</v>
      </c>
      <c r="R22">
        <f>pH_Sal!D18</f>
        <v>38.92</v>
      </c>
      <c r="S22">
        <f>pH_Sal!K18</f>
        <v>8.14</v>
      </c>
      <c r="T22" s="124">
        <f>'Schedule and logs'!E123</f>
        <v>44570</v>
      </c>
      <c r="U22" s="124">
        <f>'Schedule and logs'!E124</f>
        <v>44587</v>
      </c>
      <c r="V22" s="124">
        <f t="shared" si="3"/>
        <v>44578.5</v>
      </c>
      <c r="W22" s="143">
        <f t="shared" si="4"/>
        <v>272</v>
      </c>
      <c r="X22">
        <f t="shared" si="9"/>
        <v>255</v>
      </c>
      <c r="AB22">
        <f>AVERAGE('BSi data'!S51:S53)</f>
        <v>14.925933185228955</v>
      </c>
      <c r="AC22">
        <f>AVERAGE('BSi data'!T51:T53)</f>
        <v>31.929488255621497</v>
      </c>
      <c r="AF22">
        <f>'PIC data'!AF23</f>
        <v>37.557174270931618</v>
      </c>
      <c r="AG22">
        <f t="shared" si="5"/>
        <v>4.5067003073717808</v>
      </c>
      <c r="AH22">
        <f t="shared" si="6"/>
        <v>9.6530067620251927</v>
      </c>
      <c r="AI22" s="100">
        <f t="shared" si="7"/>
        <v>97.935521111126903</v>
      </c>
      <c r="AJ22" s="100"/>
      <c r="AK22" s="100">
        <f t="shared" si="8"/>
        <v>8.1378471079550074</v>
      </c>
    </row>
    <row r="23" spans="1:37">
      <c r="A23">
        <f>'sample processing comments'!A22</f>
        <v>2021</v>
      </c>
      <c r="B23" t="str">
        <f>'sample processing comments'!B22</f>
        <v>47_1000</v>
      </c>
      <c r="C23">
        <f>'sample processing comments'!C22</f>
        <v>17</v>
      </c>
      <c r="D23">
        <f>'sample processing comments'!D22</f>
        <v>15</v>
      </c>
      <c r="E23">
        <f>'mass filt'!V24</f>
        <v>622.42857142857144</v>
      </c>
      <c r="F23">
        <v>0.5</v>
      </c>
      <c r="G23" t="str">
        <f>'sample processing comments'!H22</f>
        <v>IN2021_V02 carboy 3 24/4/21 00:27 46˚ 45.46, 141˚ 49.46</v>
      </c>
      <c r="H23" s="143">
        <f t="shared" si="0"/>
        <v>17</v>
      </c>
      <c r="I23">
        <f t="shared" si="1"/>
        <v>73.226890756302524</v>
      </c>
      <c r="J23">
        <f t="shared" si="2"/>
        <v>26.746121848739499</v>
      </c>
      <c r="L23">
        <v>1</v>
      </c>
      <c r="M23" s="100">
        <f>'CHN raw data'!D25</f>
        <v>14.98511791229248</v>
      </c>
      <c r="N23" s="100">
        <f>'CHN raw data'!E25</f>
        <v>1.6605899333953857</v>
      </c>
      <c r="O23" s="100">
        <f>'CHN raw data'!F25</f>
        <v>1.5582642555236816</v>
      </c>
      <c r="R23">
        <f>pH_Sal!D19</f>
        <v>39.07</v>
      </c>
      <c r="S23">
        <f>pH_Sal!K19</f>
        <v>8.19</v>
      </c>
      <c r="T23" s="124">
        <f>'Schedule and logs'!E124</f>
        <v>44587</v>
      </c>
      <c r="U23" s="124">
        <f>'Schedule and logs'!E125</f>
        <v>44604</v>
      </c>
      <c r="V23" s="124">
        <f t="shared" si="3"/>
        <v>44595.5</v>
      </c>
      <c r="W23" s="143">
        <f t="shared" si="4"/>
        <v>289</v>
      </c>
      <c r="X23">
        <f t="shared" si="9"/>
        <v>272</v>
      </c>
      <c r="AB23">
        <f>'BSi data'!S54</f>
        <v>11.083044806517311</v>
      </c>
      <c r="AC23">
        <f>'BSi data'!T54</f>
        <v>23.70879894708527</v>
      </c>
      <c r="AF23">
        <f>'PIC data'!AF24</f>
        <v>42.62105690215796</v>
      </c>
      <c r="AG23">
        <f t="shared" si="5"/>
        <v>5.1143445685191278</v>
      </c>
      <c r="AH23">
        <f t="shared" si="6"/>
        <v>9.8707733437733527</v>
      </c>
      <c r="AI23" s="100">
        <f t="shared" si="7"/>
        <v>94.353525089724002</v>
      </c>
      <c r="AJ23" s="100"/>
      <c r="AK23" s="100">
        <f t="shared" si="8"/>
        <v>7.3893323255943937</v>
      </c>
    </row>
    <row r="24" spans="1:37">
      <c r="A24">
        <f>'sample processing comments'!A23</f>
        <v>2021</v>
      </c>
      <c r="B24" t="str">
        <f>'sample processing comments'!B23</f>
        <v>47_1000</v>
      </c>
      <c r="C24">
        <f>'sample processing comments'!C23</f>
        <v>18</v>
      </c>
      <c r="D24">
        <f>'sample processing comments'!D23</f>
        <v>10</v>
      </c>
      <c r="E24">
        <f>'mass filt'!V25</f>
        <v>465.55714285714294</v>
      </c>
      <c r="F24">
        <v>0.5</v>
      </c>
      <c r="G24" t="str">
        <f>'sample processing comments'!H23</f>
        <v>IN2021_V02 carboy 3 24/4/21 00:27 46˚ 45.46, 141˚ 49.46</v>
      </c>
      <c r="H24" s="143">
        <f t="shared" si="0"/>
        <v>17</v>
      </c>
      <c r="I24">
        <f t="shared" si="1"/>
        <v>54.771428571428579</v>
      </c>
      <c r="J24">
        <f t="shared" si="2"/>
        <v>20.00526428571429</v>
      </c>
      <c r="L24">
        <v>1</v>
      </c>
      <c r="M24" s="100">
        <f>'CHN raw data'!D26</f>
        <v>18.895536422729492</v>
      </c>
      <c r="N24" s="100">
        <f>'CHN raw data'!E26</f>
        <v>2.0036797523498535</v>
      </c>
      <c r="O24" s="100">
        <f>'CHN raw data'!F26</f>
        <v>1.912310004234314</v>
      </c>
      <c r="R24">
        <f>pH_Sal!D20</f>
        <v>39.54</v>
      </c>
      <c r="S24">
        <f>pH_Sal!K20</f>
        <v>8.23</v>
      </c>
      <c r="T24" s="124">
        <f>'Schedule and logs'!E125</f>
        <v>44604</v>
      </c>
      <c r="U24" s="124">
        <f>'Schedule and logs'!E126</f>
        <v>44621</v>
      </c>
      <c r="V24" s="124">
        <f t="shared" si="3"/>
        <v>44612.5</v>
      </c>
      <c r="W24" s="143">
        <f t="shared" si="4"/>
        <v>306</v>
      </c>
      <c r="X24">
        <f t="shared" si="9"/>
        <v>289</v>
      </c>
      <c r="AB24">
        <f>'BSi data'!S55</f>
        <v>7.4116710596261184</v>
      </c>
      <c r="AC24">
        <f>'BSi data'!T55</f>
        <v>15.8550129573846</v>
      </c>
      <c r="AF24">
        <f>'PIC data'!AF25</f>
        <v>47.74398125145629</v>
      </c>
      <c r="AG24">
        <f t="shared" si="5"/>
        <v>5.7290735833559649</v>
      </c>
      <c r="AH24">
        <f t="shared" si="6"/>
        <v>13.166462839373526</v>
      </c>
      <c r="AI24" s="100">
        <f t="shared" si="7"/>
        <v>98.009263880774967</v>
      </c>
      <c r="AJ24" s="100"/>
      <c r="AK24" s="100">
        <f t="shared" si="8"/>
        <v>8.0316717089942404</v>
      </c>
    </row>
    <row r="25" spans="1:37">
      <c r="A25">
        <f>'sample processing comments'!A24</f>
        <v>2021</v>
      </c>
      <c r="B25" t="str">
        <f>'sample processing comments'!B24</f>
        <v>47_1000</v>
      </c>
      <c r="C25">
        <f>'sample processing comments'!C24</f>
        <v>19</v>
      </c>
      <c r="D25">
        <f>'sample processing comments'!D24</f>
        <v>5</v>
      </c>
      <c r="E25">
        <f>'mass filt'!V26</f>
        <v>189.17142857142861</v>
      </c>
      <c r="F25">
        <v>0.5</v>
      </c>
      <c r="G25" t="str">
        <f>'sample processing comments'!H24</f>
        <v>IN2021_V02 carboy 3 24/4/21 00:27 46˚ 45.46, 141˚ 49.46</v>
      </c>
      <c r="H25" s="143">
        <f t="shared" si="0"/>
        <v>17</v>
      </c>
      <c r="I25">
        <f t="shared" si="1"/>
        <v>22.255462184873952</v>
      </c>
      <c r="J25">
        <f t="shared" si="2"/>
        <v>8.1288075630252123</v>
      </c>
      <c r="L25">
        <v>1</v>
      </c>
      <c r="M25" s="100">
        <f>'CHN raw data'!D27</f>
        <v>16.420463562011719</v>
      </c>
      <c r="N25" s="100">
        <f>'CHN raw data'!E27</f>
        <v>1.4904898405075073</v>
      </c>
      <c r="O25" s="100">
        <f>'CHN raw data'!F27</f>
        <v>1.5423842668533325</v>
      </c>
      <c r="R25">
        <f>pH_Sal!D21</f>
        <v>39.97</v>
      </c>
      <c r="S25">
        <f>pH_Sal!K21</f>
        <v>8.42</v>
      </c>
      <c r="T25" s="124">
        <f>'Schedule and logs'!E126</f>
        <v>44621</v>
      </c>
      <c r="U25" s="124">
        <f>'Schedule and logs'!E127</f>
        <v>44638</v>
      </c>
      <c r="V25" s="124">
        <f t="shared" si="3"/>
        <v>44629.5</v>
      </c>
      <c r="W25" s="143">
        <f t="shared" si="4"/>
        <v>323</v>
      </c>
      <c r="X25">
        <f t="shared" si="9"/>
        <v>306</v>
      </c>
      <c r="AB25">
        <f>'BSi data'!S56</f>
        <v>7.067502912904164</v>
      </c>
      <c r="AC25">
        <f>'BSi data'!T56</f>
        <v>15.118770026216138</v>
      </c>
      <c r="AF25">
        <f>'PIC data'!AF26</f>
        <v>56.061492699040805</v>
      </c>
      <c r="AG25">
        <f t="shared" si="5"/>
        <v>6.727139389025738</v>
      </c>
      <c r="AH25">
        <f t="shared" si="6"/>
        <v>9.6933241729859816</v>
      </c>
      <c r="AI25" s="100">
        <f t="shared" si="7"/>
        <v>97.868640608709896</v>
      </c>
      <c r="AJ25" s="100"/>
      <c r="AK25" s="100">
        <f t="shared" si="8"/>
        <v>7.331203559823769</v>
      </c>
    </row>
    <row r="26" spans="1:37">
      <c r="A26">
        <f>'sample processing comments'!A25</f>
        <v>2021</v>
      </c>
      <c r="B26" t="str">
        <f>'sample processing comments'!B25</f>
        <v>47_1000</v>
      </c>
      <c r="C26">
        <f>'sample processing comments'!C25</f>
        <v>20</v>
      </c>
      <c r="D26">
        <f>'sample processing comments'!D25</f>
        <v>3</v>
      </c>
      <c r="E26">
        <f>'mass filt'!V27</f>
        <v>96.399999999999991</v>
      </c>
      <c r="F26">
        <v>0.5</v>
      </c>
      <c r="G26" t="str">
        <f>'sample processing comments'!H25</f>
        <v>IN2021_V02 carboy 3 24/4/21 00:27 46˚ 45.46, 141˚ 49.46</v>
      </c>
      <c r="H26" s="143">
        <f t="shared" si="0"/>
        <v>17</v>
      </c>
      <c r="I26">
        <f t="shared" si="1"/>
        <v>11.341176470588234</v>
      </c>
      <c r="J26">
        <f t="shared" si="2"/>
        <v>4.1423647058823523</v>
      </c>
      <c r="L26">
        <v>1</v>
      </c>
      <c r="M26" s="100">
        <f>'CHN raw data'!D28</f>
        <v>16.273431777954102</v>
      </c>
      <c r="N26" s="100">
        <f>'CHN raw data'!E28</f>
        <v>1.3515814542770386</v>
      </c>
      <c r="O26" s="100">
        <f>'CHN raw data'!F28</f>
        <v>1.5127736330032349</v>
      </c>
      <c r="R26">
        <f>pH_Sal!D22</f>
        <v>39.57</v>
      </c>
      <c r="S26">
        <f>pH_Sal!K22</f>
        <v>8.49</v>
      </c>
      <c r="T26" s="124">
        <f>'Schedule and logs'!E127</f>
        <v>44638</v>
      </c>
      <c r="U26" s="124">
        <f>'Schedule and logs'!E128</f>
        <v>44655</v>
      </c>
      <c r="V26" s="124">
        <f t="shared" si="3"/>
        <v>44646.5</v>
      </c>
      <c r="W26" s="143">
        <f t="shared" si="4"/>
        <v>340</v>
      </c>
      <c r="X26">
        <f t="shared" si="9"/>
        <v>323</v>
      </c>
      <c r="AB26">
        <f>'BSi data'!S57</f>
        <v>6.2376017764618794</v>
      </c>
      <c r="AC26">
        <f>'BSi data'!T57</f>
        <v>13.343449296817173</v>
      </c>
      <c r="AF26">
        <f>'PIC data'!AF27</f>
        <v>59.674762426616525</v>
      </c>
      <c r="AG26">
        <f t="shared" si="5"/>
        <v>7.1607163049676279</v>
      </c>
      <c r="AH26">
        <f t="shared" si="6"/>
        <v>9.1127154729864728</v>
      </c>
      <c r="AI26" s="100">
        <f t="shared" si="7"/>
        <v>98.233965186653833</v>
      </c>
      <c r="AJ26" s="100"/>
      <c r="AK26" s="100">
        <f t="shared" si="8"/>
        <v>7.0269844424473744</v>
      </c>
    </row>
    <row r="27" spans="1:37">
      <c r="A27">
        <f>'sample processing comments'!A26</f>
        <v>2021</v>
      </c>
      <c r="B27" t="str">
        <f>'sample processing comments'!B26</f>
        <v>47_1000</v>
      </c>
      <c r="C27">
        <f>'sample processing comments'!C26</f>
        <v>21</v>
      </c>
      <c r="D27">
        <f>'sample processing comments'!D26</f>
        <v>3</v>
      </c>
      <c r="E27">
        <f>'mass filt'!V28</f>
        <v>205.2285714285714</v>
      </c>
      <c r="F27">
        <v>0.5</v>
      </c>
      <c r="G27" t="str">
        <f>'sample processing comments'!H26</f>
        <v>IN2021_V02 carboy 3 24/4/21 00:27 46˚ 45.46, 141˚ 49.46</v>
      </c>
      <c r="H27" s="143">
        <f t="shared" si="0"/>
        <v>17</v>
      </c>
      <c r="I27">
        <f t="shared" si="1"/>
        <v>24.144537815126046</v>
      </c>
      <c r="J27">
        <f t="shared" si="2"/>
        <v>8.818792436974789</v>
      </c>
      <c r="L27">
        <v>1</v>
      </c>
      <c r="M27" s="100">
        <f>'CHN raw data'!D30</f>
        <v>19.774139404296875</v>
      </c>
      <c r="N27" s="100">
        <f>'CHN raw data'!E30</f>
        <v>1.9060772657394409</v>
      </c>
      <c r="O27" s="100">
        <f>'CHN raw data'!F30</f>
        <v>2.2612068653106689</v>
      </c>
      <c r="R27">
        <f>pH_Sal!D23</f>
        <v>39.31</v>
      </c>
      <c r="S27">
        <f>pH_Sal!K23</f>
        <v>8.49</v>
      </c>
      <c r="T27" s="124">
        <f>'Schedule and logs'!E128</f>
        <v>44655</v>
      </c>
      <c r="U27" s="124">
        <f>'Schedule and logs'!E129</f>
        <v>44672</v>
      </c>
      <c r="V27" s="124">
        <f t="shared" si="3"/>
        <v>44663.5</v>
      </c>
      <c r="W27" s="143">
        <f t="shared" si="4"/>
        <v>357</v>
      </c>
      <c r="X27">
        <f t="shared" si="9"/>
        <v>340</v>
      </c>
      <c r="AB27">
        <f>'BSi data'!S58</f>
        <v>4.5762021298382143</v>
      </c>
      <c r="AC27">
        <f>'BSi data'!T58</f>
        <v>9.7893907433954546</v>
      </c>
      <c r="AF27">
        <f>'PIC data'!AF28</f>
        <v>56.73544332240391</v>
      </c>
      <c r="AG27">
        <f t="shared" si="5"/>
        <v>6.808010581825104</v>
      </c>
      <c r="AH27">
        <f t="shared" si="6"/>
        <v>12.96612882247177</v>
      </c>
      <c r="AI27" s="100">
        <f t="shared" si="7"/>
        <v>99.82715045701076</v>
      </c>
      <c r="AJ27" s="100"/>
      <c r="AK27" s="100">
        <f t="shared" si="8"/>
        <v>6.6890611262318584</v>
      </c>
    </row>
    <row r="28" spans="1:37">
      <c r="A28" s="48" t="str">
        <f>'sample processing comments'!A27</f>
        <v>Pick up 14/05/2022 IN2022_V03</v>
      </c>
    </row>
    <row r="30" spans="1:37" s="129" customFormat="1">
      <c r="A30" s="129" t="str">
        <f>'sample processing comments'!A29</f>
        <v>Deployment 24/04/2021 IN2021_V02</v>
      </c>
      <c r="B30" s="129" t="str">
        <f>'sample processing comments'!B29</f>
        <v>McLane-PARFLUX-Mark78H-21 ; frame# 14182, funnel# 874, controller# 11741-01 and Motor # 14182-02 Cup set Ex21</v>
      </c>
      <c r="V30" s="116"/>
      <c r="W30" s="117">
        <v>0</v>
      </c>
      <c r="X30" s="118"/>
    </row>
    <row r="31" spans="1:37">
      <c r="A31">
        <f>'sample processing comments'!A30</f>
        <v>2021</v>
      </c>
      <c r="B31" t="str">
        <f>'sample processing comments'!B30</f>
        <v>47_2000</v>
      </c>
      <c r="C31" t="str">
        <f>'sample processing comments'!C30</f>
        <v>E 1</v>
      </c>
      <c r="D31">
        <f>'sample processing comments'!D30</f>
        <v>3</v>
      </c>
      <c r="E31">
        <f>'mass filt'!V31</f>
        <v>572.28571428571433</v>
      </c>
      <c r="F31">
        <v>0.5</v>
      </c>
      <c r="G31" t="str">
        <f>'sample processing comments'!H30</f>
        <v>IN2021_V02 carboy 3 24/4/21 00:27 46˚ 45.46, 141˚ 49.46</v>
      </c>
      <c r="H31" s="143">
        <f>U31-T31</f>
        <v>17</v>
      </c>
      <c r="I31">
        <f>E31/F31/H31</f>
        <v>67.327731092436977</v>
      </c>
      <c r="J31">
        <f>0.001*365.25*E31/F31/H31</f>
        <v>24.591453781512609</v>
      </c>
      <c r="L31">
        <v>1</v>
      </c>
      <c r="M31" s="100">
        <f>AVERAGE('CHN raw data'!D31,'CHN raw data'!D46)</f>
        <v>14.033336639404297</v>
      </c>
      <c r="N31" s="100">
        <f>AVERAGE('CHN raw data'!E31,'CHN raw data'!E46)</f>
        <v>1.0101229548454285</v>
      </c>
      <c r="O31" s="100">
        <f>AVERAGE('CHN raw data'!F31,'CHN raw data'!F46)</f>
        <v>0.90838140249252319</v>
      </c>
      <c r="R31">
        <f>pH_Sal!D24</f>
        <v>39.979999999999997</v>
      </c>
      <c r="S31">
        <f>pH_Sal!K24</f>
        <v>8.5399999999999991</v>
      </c>
      <c r="T31" s="124">
        <f>'Schedule and logs'!O109</f>
        <v>44315</v>
      </c>
      <c r="U31" s="124">
        <f>'Schedule and logs'!O110</f>
        <v>44332</v>
      </c>
      <c r="V31" s="124">
        <f>AVERAGE(T31:U31)</f>
        <v>44323.5</v>
      </c>
      <c r="W31" s="143">
        <f>H31+W30</f>
        <v>17</v>
      </c>
      <c r="X31">
        <v>0</v>
      </c>
      <c r="AB31">
        <f>AVERAGE('BSi data'!S59:S61)</f>
        <v>4.3784849403405213</v>
      </c>
      <c r="AC31">
        <f>AVERAGE('BSi data'!T59:T61)</f>
        <v>9.3664350325760761</v>
      </c>
      <c r="AF31">
        <f>'PIC data'!AF29</f>
        <v>65.628843420356105</v>
      </c>
      <c r="AG31">
        <f>AF31*12.01/100.0869</f>
        <v>7.87518056287563</v>
      </c>
      <c r="AH31">
        <f>M31-AG31</f>
        <v>6.1581560765286669</v>
      </c>
      <c r="AI31" s="100">
        <f>AF31+(AC31*1.11)+(AH31*2.2)+3.7</f>
        <v>93.273529674878617</v>
      </c>
      <c r="AJ31" s="100"/>
      <c r="AK31" s="100">
        <f>(AH31/12.01)/(O31/14.01)</f>
        <v>7.9081989301040476</v>
      </c>
    </row>
    <row r="32" spans="1:37">
      <c r="A32">
        <f>'sample processing comments'!A31</f>
        <v>2021</v>
      </c>
      <c r="B32" t="str">
        <f>'sample processing comments'!B31</f>
        <v>47_2000</v>
      </c>
      <c r="C32">
        <f>'sample processing comments'!C31</f>
        <v>2</v>
      </c>
      <c r="D32">
        <f>'sample processing comments'!D31</f>
        <v>3</v>
      </c>
      <c r="E32">
        <f>'mass filt'!V32</f>
        <v>424.0428571428572</v>
      </c>
      <c r="F32">
        <v>0.5</v>
      </c>
      <c r="G32" t="str">
        <f>'sample processing comments'!H31</f>
        <v>IN2021_V02 carboy 3 24/4/21 00:27 46˚ 45.46, 141˚ 49.46</v>
      </c>
      <c r="H32" s="143">
        <f t="shared" ref="H32:H51" si="10">U32-T32</f>
        <v>17</v>
      </c>
      <c r="I32">
        <f t="shared" ref="I32:I51" si="11">E32/F32/H32</f>
        <v>49.887394957983197</v>
      </c>
      <c r="J32">
        <f t="shared" ref="J32:J51" si="12">0.001*365.25*E32/F32/H32</f>
        <v>18.221371008403366</v>
      </c>
      <c r="L32">
        <v>1</v>
      </c>
      <c r="M32" s="100">
        <f>'CHN raw data'!D32</f>
        <v>13.924801826477051</v>
      </c>
      <c r="N32" s="100">
        <f>'CHN raw data'!E32</f>
        <v>0.89879518747329712</v>
      </c>
      <c r="O32" s="100">
        <f>'CHN raw data'!F32</f>
        <v>0.88967561721801758</v>
      </c>
      <c r="R32">
        <f>pH_Sal!D25</f>
        <v>40.36</v>
      </c>
      <c r="S32">
        <f>pH_Sal!K25</f>
        <v>8.59</v>
      </c>
      <c r="T32" s="124">
        <f>'Schedule and logs'!O110</f>
        <v>44332</v>
      </c>
      <c r="U32" s="124">
        <f>'Schedule and logs'!O111</f>
        <v>44349</v>
      </c>
      <c r="V32" s="124">
        <f t="shared" ref="V32:V51" si="13">AVERAGE(T32:U32)</f>
        <v>44340.5</v>
      </c>
      <c r="W32" s="143">
        <f t="shared" ref="W32:W51" si="14">H32+W31</f>
        <v>34</v>
      </c>
      <c r="X32">
        <f>X31+H32</f>
        <v>17</v>
      </c>
      <c r="AB32">
        <f>'BSi data'!S62</f>
        <v>3.254385205747877</v>
      </c>
      <c r="AC32">
        <f>'BSi data'!T62</f>
        <v>6.9617660026126726</v>
      </c>
      <c r="AF32">
        <f>'PIC data'!AF30</f>
        <v>70.075846869540342</v>
      </c>
      <c r="AG32">
        <f t="shared" ref="AG32:AG51" si="15">AF32*12.01/100.0869</f>
        <v>8.4088019601284429</v>
      </c>
      <c r="AH32">
        <f t="shared" ref="AH32:AH51" si="16">M32-AG32</f>
        <v>5.5159998663486078</v>
      </c>
      <c r="AI32" s="100">
        <f t="shared" ref="AI32:AI51" si="17">AF32+(AC32*1.11)+(AH32*2.2)+3.7</f>
        <v>93.638606838407355</v>
      </c>
      <c r="AJ32" s="100"/>
      <c r="AK32" s="100">
        <f t="shared" ref="AK32:AK51" si="18">(AH32/12.01)/(O32/14.01)</f>
        <v>7.2324874141534243</v>
      </c>
    </row>
    <row r="33" spans="1:37">
      <c r="A33">
        <f>'sample processing comments'!A32</f>
        <v>2021</v>
      </c>
      <c r="B33" t="str">
        <f>'sample processing comments'!B32</f>
        <v>47_2000</v>
      </c>
      <c r="C33">
        <f>'sample processing comments'!C32</f>
        <v>3</v>
      </c>
      <c r="D33">
        <f>'sample processing comments'!D32</f>
        <v>3</v>
      </c>
      <c r="E33">
        <f>'mass filt'!V33</f>
        <v>584.97142857142853</v>
      </c>
      <c r="F33">
        <v>0.5</v>
      </c>
      <c r="G33" t="str">
        <f>'sample processing comments'!H32</f>
        <v>IN2021_V02 carboy 3 24/4/21 00:27 46˚ 45.46, 141˚ 49.46</v>
      </c>
      <c r="H33" s="143">
        <f t="shared" si="10"/>
        <v>17</v>
      </c>
      <c r="I33">
        <f t="shared" si="11"/>
        <v>68.820168067226888</v>
      </c>
      <c r="J33">
        <f t="shared" si="12"/>
        <v>25.13656638655462</v>
      </c>
      <c r="L33">
        <v>1</v>
      </c>
      <c r="M33" s="100">
        <f>'CHN raw data'!D33</f>
        <v>13.59086799621582</v>
      </c>
      <c r="N33" s="100">
        <f>'CHN raw data'!E33</f>
        <v>0.87965613603591919</v>
      </c>
      <c r="O33" s="100">
        <f>'CHN raw data'!F33</f>
        <v>0.74985939264297485</v>
      </c>
      <c r="Q33" t="s">
        <v>2349</v>
      </c>
      <c r="R33">
        <f>AVERAGE(pH_Sal!D26,pH_Sal!G26)</f>
        <v>40.414999999999999</v>
      </c>
      <c r="S33">
        <f>AVERAGE(pH_Sal!K26,pH_Sal!N26)</f>
        <v>8.6050000000000004</v>
      </c>
      <c r="T33" s="124">
        <f>'Schedule and logs'!O111</f>
        <v>44349</v>
      </c>
      <c r="U33" s="124">
        <f>'Schedule and logs'!O112</f>
        <v>44366</v>
      </c>
      <c r="V33" s="124">
        <f t="shared" si="13"/>
        <v>44357.5</v>
      </c>
      <c r="W33" s="143">
        <f t="shared" si="14"/>
        <v>51</v>
      </c>
      <c r="X33">
        <f t="shared" ref="X33:X51" si="19">X32+H33</f>
        <v>34</v>
      </c>
      <c r="AB33">
        <f>'BSi data'!S63</f>
        <v>3.6357994371282927</v>
      </c>
      <c r="AC33">
        <f>'BSi data'!T63</f>
        <v>7.7776855883602378</v>
      </c>
      <c r="AF33">
        <f>'PIC data'!AF31</f>
        <v>70.073750509862307</v>
      </c>
      <c r="AG33">
        <f t="shared" si="15"/>
        <v>8.4085504059317078</v>
      </c>
      <c r="AH33">
        <f t="shared" si="16"/>
        <v>5.1823175902841125</v>
      </c>
      <c r="AI33" s="100">
        <f t="shared" si="17"/>
        <v>93.80808021156723</v>
      </c>
      <c r="AJ33" s="100"/>
      <c r="AK33" s="100">
        <f t="shared" si="18"/>
        <v>8.0619354521001281</v>
      </c>
    </row>
    <row r="34" spans="1:37">
      <c r="A34">
        <f>'sample processing comments'!A33</f>
        <v>2021</v>
      </c>
      <c r="B34" t="str">
        <f>'sample processing comments'!B33</f>
        <v>47_2000</v>
      </c>
      <c r="C34">
        <f>'sample processing comments'!C33</f>
        <v>4</v>
      </c>
      <c r="D34">
        <f>'sample processing comments'!D33</f>
        <v>3</v>
      </c>
      <c r="E34">
        <f>'mass filt'!V34</f>
        <v>539.32857142857142</v>
      </c>
      <c r="F34">
        <v>0.5</v>
      </c>
      <c r="G34" t="str">
        <f>'sample processing comments'!H33</f>
        <v>IN2021_V02 carboy 3 24/4/21 00:27 46˚ 45.46, 141˚ 49.46</v>
      </c>
      <c r="H34" s="143">
        <f t="shared" si="10"/>
        <v>17</v>
      </c>
      <c r="I34">
        <f t="shared" si="11"/>
        <v>63.450420168067225</v>
      </c>
      <c r="J34">
        <f t="shared" si="12"/>
        <v>23.175265966386554</v>
      </c>
      <c r="L34">
        <v>1</v>
      </c>
      <c r="M34" s="100">
        <f>'CHN raw data'!D35</f>
        <v>13.404953002929688</v>
      </c>
      <c r="N34" s="100">
        <f>'CHN raw data'!E35</f>
        <v>0.81655263900756836</v>
      </c>
      <c r="O34" s="100">
        <f>'CHN raw data'!F35</f>
        <v>0.73585402965545654</v>
      </c>
      <c r="R34">
        <f>pH_Sal!D27</f>
        <v>40.22</v>
      </c>
      <c r="S34">
        <f>pH_Sal!K27</f>
        <v>8.61</v>
      </c>
      <c r="T34" s="124">
        <f>'Schedule and logs'!O112</f>
        <v>44366</v>
      </c>
      <c r="U34" s="124">
        <f>'Schedule and logs'!O113</f>
        <v>44383</v>
      </c>
      <c r="V34" s="124">
        <f t="shared" si="13"/>
        <v>44374.5</v>
      </c>
      <c r="W34" s="143">
        <f t="shared" si="14"/>
        <v>68</v>
      </c>
      <c r="X34">
        <f t="shared" si="19"/>
        <v>51</v>
      </c>
      <c r="AB34">
        <f>'BSi data'!S64</f>
        <v>4.2568723887375111</v>
      </c>
      <c r="AC34">
        <f>'BSi data'!T64</f>
        <v>9.1062820163487732</v>
      </c>
      <c r="AF34">
        <f>'PIC data'!AF32</f>
        <v>69.941262409563237</v>
      </c>
      <c r="AG34">
        <f t="shared" si="15"/>
        <v>8.3926524004525511</v>
      </c>
      <c r="AH34">
        <f t="shared" si="16"/>
        <v>5.0123006024771364</v>
      </c>
      <c r="AI34" s="100">
        <f t="shared" si="17"/>
        <v>94.77629677316007</v>
      </c>
      <c r="AJ34" s="100"/>
      <c r="AK34" s="100">
        <f t="shared" si="18"/>
        <v>7.9458536983807919</v>
      </c>
    </row>
    <row r="35" spans="1:37">
      <c r="A35">
        <f>'sample processing comments'!A34</f>
        <v>2021</v>
      </c>
      <c r="B35" t="str">
        <f>'sample processing comments'!B34</f>
        <v>47_2000</v>
      </c>
      <c r="C35">
        <f>'sample processing comments'!C34</f>
        <v>5</v>
      </c>
      <c r="D35">
        <f>'sample processing comments'!D34</f>
        <v>3</v>
      </c>
      <c r="E35">
        <f>'mass filt'!V35</f>
        <v>423.08571428571429</v>
      </c>
      <c r="F35">
        <v>0.5</v>
      </c>
      <c r="G35" t="str">
        <f>'sample processing comments'!H34</f>
        <v>IN2021_V02 carboy 3 24/4/21 00:27 46˚ 45.46, 141˚ 49.46</v>
      </c>
      <c r="H35" s="143">
        <f t="shared" si="10"/>
        <v>17</v>
      </c>
      <c r="I35">
        <f t="shared" si="11"/>
        <v>49.774789915966387</v>
      </c>
      <c r="J35">
        <f t="shared" si="12"/>
        <v>18.180242016806723</v>
      </c>
      <c r="L35">
        <v>1</v>
      </c>
      <c r="M35" s="100">
        <f>'CHN raw data'!D36</f>
        <v>13.477887153625488</v>
      </c>
      <c r="N35" s="100">
        <f>'CHN raw data'!E36</f>
        <v>0.7985803484916687</v>
      </c>
      <c r="O35" s="100">
        <f>'CHN raw data'!F36</f>
        <v>0.71515554189682007</v>
      </c>
      <c r="R35">
        <f>pH_Sal!D28</f>
        <v>40.5</v>
      </c>
      <c r="S35">
        <f>pH_Sal!K28</f>
        <v>8.6</v>
      </c>
      <c r="T35" s="124">
        <f>'Schedule and logs'!O113</f>
        <v>44383</v>
      </c>
      <c r="U35" s="124">
        <f>'Schedule and logs'!O114</f>
        <v>44400</v>
      </c>
      <c r="V35" s="124">
        <f t="shared" si="13"/>
        <v>44391.5</v>
      </c>
      <c r="W35" s="143">
        <f t="shared" si="14"/>
        <v>85</v>
      </c>
      <c r="X35">
        <f t="shared" si="19"/>
        <v>68</v>
      </c>
      <c r="AB35">
        <f>'BSi data'!S65</f>
        <v>4.1586083339159616</v>
      </c>
      <c r="AC35">
        <f>'BSi data'!T65</f>
        <v>8.8960759980423685</v>
      </c>
      <c r="AF35">
        <f>'PIC data'!AF33</f>
        <v>70.257354756557206</v>
      </c>
      <c r="AG35">
        <f t="shared" si="15"/>
        <v>8.4305821303912101</v>
      </c>
      <c r="AH35">
        <f t="shared" si="16"/>
        <v>5.0473050232342782</v>
      </c>
      <c r="AI35" s="100">
        <f t="shared" si="17"/>
        <v>94.936070165499643</v>
      </c>
      <c r="AJ35" s="100"/>
      <c r="AK35" s="100">
        <f t="shared" si="18"/>
        <v>8.2329252187518982</v>
      </c>
    </row>
    <row r="36" spans="1:37">
      <c r="A36">
        <f>'sample processing comments'!A35</f>
        <v>2021</v>
      </c>
      <c r="B36" t="str">
        <f>'sample processing comments'!B35</f>
        <v>47_2000</v>
      </c>
      <c r="C36">
        <f>'sample processing comments'!C35</f>
        <v>6</v>
      </c>
      <c r="D36">
        <f>'sample processing comments'!D35</f>
        <v>2</v>
      </c>
      <c r="E36">
        <f>'mass filt'!V36</f>
        <v>277.02857142857141</v>
      </c>
      <c r="F36">
        <v>0.5</v>
      </c>
      <c r="G36" t="str">
        <f>'sample processing comments'!H35</f>
        <v>IN2021_V02 carboy 3 24/4/21 00:27 46˚ 45.46, 141˚ 49.46</v>
      </c>
      <c r="H36" s="143">
        <f t="shared" si="10"/>
        <v>17</v>
      </c>
      <c r="I36">
        <f t="shared" si="11"/>
        <v>32.59159663865546</v>
      </c>
      <c r="J36">
        <f t="shared" si="12"/>
        <v>11.904080672268906</v>
      </c>
      <c r="L36">
        <v>1</v>
      </c>
      <c r="M36" s="100">
        <f>'CHN raw data'!D37</f>
        <v>13.27193546295166</v>
      </c>
      <c r="N36" s="100">
        <f>'CHN raw data'!E37</f>
        <v>0.78295207023620605</v>
      </c>
      <c r="O36" s="100">
        <f>'CHN raw data'!F37</f>
        <v>0.64075922966003418</v>
      </c>
      <c r="R36">
        <f>pH_Sal!D29</f>
        <v>40.549999999999997</v>
      </c>
      <c r="S36">
        <f>pH_Sal!K29</f>
        <v>8.65</v>
      </c>
      <c r="T36" s="124">
        <f>'Schedule and logs'!O114</f>
        <v>44400</v>
      </c>
      <c r="U36" s="124">
        <f>'Schedule and logs'!O115</f>
        <v>44417</v>
      </c>
      <c r="V36" s="124">
        <f t="shared" si="13"/>
        <v>44408.5</v>
      </c>
      <c r="W36" s="143">
        <f t="shared" si="14"/>
        <v>102</v>
      </c>
      <c r="X36">
        <f t="shared" si="19"/>
        <v>85</v>
      </c>
      <c r="AB36">
        <f>'BSi data'!S66</f>
        <v>4.2152985273716785</v>
      </c>
      <c r="AC36">
        <f>'BSi data'!T66</f>
        <v>9.0173474015579984</v>
      </c>
      <c r="AF36">
        <f>'PIC data'!AF34</f>
        <v>71.906472970856171</v>
      </c>
      <c r="AG36">
        <f t="shared" si="15"/>
        <v>8.6284692640094018</v>
      </c>
      <c r="AH36">
        <f t="shared" si="16"/>
        <v>4.6434661989422583</v>
      </c>
      <c r="AI36" s="100">
        <f t="shared" si="17"/>
        <v>95.831354224258519</v>
      </c>
      <c r="AJ36" s="100"/>
      <c r="AK36" s="100">
        <f t="shared" si="18"/>
        <v>8.453616573112809</v>
      </c>
    </row>
    <row r="37" spans="1:37">
      <c r="A37">
        <f>'sample processing comments'!A36</f>
        <v>2021</v>
      </c>
      <c r="B37" t="str">
        <f>'sample processing comments'!B36</f>
        <v>47_2000</v>
      </c>
      <c r="C37">
        <f>'sample processing comments'!C36</f>
        <v>7</v>
      </c>
      <c r="D37">
        <f>'sample processing comments'!D36</f>
        <v>2</v>
      </c>
      <c r="E37">
        <f>'mass filt'!V37</f>
        <v>287.07142857142856</v>
      </c>
      <c r="F37">
        <v>0.5</v>
      </c>
      <c r="G37" t="str">
        <f>'sample processing comments'!H36</f>
        <v>IN2021_V02 carboy 3 24/4/21 00:27 46˚ 45.46, 141˚ 49.46</v>
      </c>
      <c r="H37" s="143">
        <f t="shared" si="10"/>
        <v>17</v>
      </c>
      <c r="I37">
        <f t="shared" si="11"/>
        <v>33.773109243697476</v>
      </c>
      <c r="J37">
        <f t="shared" si="12"/>
        <v>12.335628151260504</v>
      </c>
      <c r="L37">
        <v>1</v>
      </c>
      <c r="M37" s="100">
        <f>'CHN raw data'!D38</f>
        <v>14.19951057434082</v>
      </c>
      <c r="N37" s="100">
        <f>'CHN raw data'!E38</f>
        <v>0.91161572933197021</v>
      </c>
      <c r="O37" s="100">
        <f>'CHN raw data'!F38</f>
        <v>0.9704279899597168</v>
      </c>
      <c r="R37">
        <f>pH_Sal!D30</f>
        <v>40.64</v>
      </c>
      <c r="S37">
        <f>pH_Sal!K30</f>
        <v>8.64</v>
      </c>
      <c r="T37" s="124">
        <f>'Schedule and logs'!O115</f>
        <v>44417</v>
      </c>
      <c r="U37" s="124">
        <f>'Schedule and logs'!O116</f>
        <v>44434</v>
      </c>
      <c r="V37" s="124">
        <f t="shared" si="13"/>
        <v>44425.5</v>
      </c>
      <c r="W37" s="143">
        <f t="shared" si="14"/>
        <v>119</v>
      </c>
      <c r="X37">
        <f t="shared" si="19"/>
        <v>102</v>
      </c>
      <c r="AB37">
        <f>'BSi data'!S67</f>
        <v>4.1973491264039939</v>
      </c>
      <c r="AC37">
        <f>'BSi data'!T67</f>
        <v>8.9789501247994306</v>
      </c>
      <c r="AF37">
        <f>'PIC data'!AF35</f>
        <v>68.411802083429365</v>
      </c>
      <c r="AG37">
        <f t="shared" si="15"/>
        <v>8.2091237017230689</v>
      </c>
      <c r="AH37">
        <f t="shared" si="16"/>
        <v>5.9903868726177514</v>
      </c>
      <c r="AI37" s="100">
        <f t="shared" si="17"/>
        <v>95.257287841715794</v>
      </c>
      <c r="AJ37" s="100"/>
      <c r="AK37" s="100">
        <f t="shared" si="18"/>
        <v>7.2008984196638348</v>
      </c>
    </row>
    <row r="38" spans="1:37">
      <c r="A38">
        <f>'sample processing comments'!A37</f>
        <v>2021</v>
      </c>
      <c r="B38" t="str">
        <f>'sample processing comments'!B37</f>
        <v>47_2000</v>
      </c>
      <c r="C38">
        <f>'sample processing comments'!C37</f>
        <v>8</v>
      </c>
      <c r="D38">
        <f>'sample processing comments'!D37</f>
        <v>2</v>
      </c>
      <c r="E38">
        <f>'mass filt'!V38</f>
        <v>286.45714285714286</v>
      </c>
      <c r="F38">
        <v>0.5</v>
      </c>
      <c r="G38" t="str">
        <f>'sample processing comments'!H37</f>
        <v>IN2021_V02 carboy 3 24/4/21 00:27 46˚ 45.46, 141˚ 49.46</v>
      </c>
      <c r="H38" s="143">
        <f t="shared" si="10"/>
        <v>17</v>
      </c>
      <c r="I38">
        <f t="shared" si="11"/>
        <v>33.700840336134455</v>
      </c>
      <c r="J38">
        <f t="shared" si="12"/>
        <v>12.309231932773109</v>
      </c>
      <c r="L38">
        <v>1</v>
      </c>
      <c r="M38" s="100">
        <f>'CHN raw data'!D39</f>
        <v>13.282626152038574</v>
      </c>
      <c r="N38" s="100">
        <f>'CHN raw data'!E39</f>
        <v>0.80899035930633545</v>
      </c>
      <c r="O38" s="100">
        <f>'CHN raw data'!F39</f>
        <v>0.68094116449356079</v>
      </c>
      <c r="R38">
        <f>pH_Sal!D31</f>
        <v>40.67</v>
      </c>
      <c r="S38">
        <f>pH_Sal!K31</f>
        <v>8.6300000000000008</v>
      </c>
      <c r="T38" s="124">
        <f>'Schedule and logs'!O116</f>
        <v>44434</v>
      </c>
      <c r="U38" s="124">
        <f>'Schedule and logs'!O117</f>
        <v>44451</v>
      </c>
      <c r="V38" s="124">
        <f t="shared" si="13"/>
        <v>44442.5</v>
      </c>
      <c r="W38" s="143">
        <f t="shared" si="14"/>
        <v>136</v>
      </c>
      <c r="X38">
        <f t="shared" si="19"/>
        <v>119</v>
      </c>
      <c r="AB38">
        <f>AVERAGE('BSi data'!S68:S69)</f>
        <v>4.5769935207154582</v>
      </c>
      <c r="AC38">
        <f>AVERAGE('BSi data'!T68:T69)</f>
        <v>9.791083683153861</v>
      </c>
      <c r="AF38">
        <f>'PIC data'!AF36</f>
        <v>71.026493505621474</v>
      </c>
      <c r="AG38">
        <f t="shared" si="15"/>
        <v>8.5228754912232656</v>
      </c>
      <c r="AH38">
        <f t="shared" si="16"/>
        <v>4.7597506608153086</v>
      </c>
      <c r="AI38" s="100">
        <f t="shared" si="17"/>
        <v>96.066047847715936</v>
      </c>
      <c r="AJ38" s="100"/>
      <c r="AK38" s="100">
        <f t="shared" si="18"/>
        <v>8.1539818725822748</v>
      </c>
    </row>
    <row r="39" spans="1:37">
      <c r="A39">
        <f>'sample processing comments'!A38</f>
        <v>2021</v>
      </c>
      <c r="B39" t="str">
        <f>'sample processing comments'!B38</f>
        <v>47_2000</v>
      </c>
      <c r="C39">
        <f>'sample processing comments'!C38</f>
        <v>9</v>
      </c>
      <c r="D39">
        <f>'sample processing comments'!D38</f>
        <v>2</v>
      </c>
      <c r="E39">
        <f>'mass filt'!V39</f>
        <v>462.20000000000005</v>
      </c>
      <c r="F39">
        <v>0.5</v>
      </c>
      <c r="G39" t="str">
        <f>'sample processing comments'!H38</f>
        <v>IN2021_V02 carboy 3 24/4/21 00:27 46˚ 45.46, 141˚ 49.46</v>
      </c>
      <c r="H39" s="143">
        <f t="shared" si="10"/>
        <v>17</v>
      </c>
      <c r="I39">
        <f t="shared" si="11"/>
        <v>54.3764705882353</v>
      </c>
      <c r="J39">
        <f t="shared" si="12"/>
        <v>19.861005882352941</v>
      </c>
      <c r="L39">
        <v>1</v>
      </c>
      <c r="M39" s="100">
        <f>'CHN raw data'!D40</f>
        <v>13.480400085449219</v>
      </c>
      <c r="N39" s="100">
        <f>'CHN raw data'!E40</f>
        <v>0.83418917655944824</v>
      </c>
      <c r="O39" s="100">
        <f>'CHN raw data'!F40</f>
        <v>0.75413709878921509</v>
      </c>
      <c r="R39">
        <f>pH_Sal!D32</f>
        <v>40.68</v>
      </c>
      <c r="S39">
        <f>pH_Sal!K32</f>
        <v>8.6199999999999992</v>
      </c>
      <c r="T39" s="124">
        <f>'Schedule and logs'!O117</f>
        <v>44451</v>
      </c>
      <c r="U39" s="124">
        <f>'Schedule and logs'!O118</f>
        <v>44468</v>
      </c>
      <c r="V39" s="124">
        <f t="shared" si="13"/>
        <v>44459.5</v>
      </c>
      <c r="W39" s="143">
        <f t="shared" si="14"/>
        <v>153</v>
      </c>
      <c r="X39">
        <f t="shared" si="19"/>
        <v>136</v>
      </c>
      <c r="AB39">
        <f>'BSi data'!S70</f>
        <v>4.5492179527780694</v>
      </c>
      <c r="AC39">
        <f>'BSi data'!T70</f>
        <v>9.7316663147894005</v>
      </c>
      <c r="AF39">
        <f>'PIC data'!AF37</f>
        <v>70.264190434620446</v>
      </c>
      <c r="AG39">
        <f t="shared" si="15"/>
        <v>8.431402382527498</v>
      </c>
      <c r="AH39">
        <f t="shared" si="16"/>
        <v>5.0489977029217208</v>
      </c>
      <c r="AI39" s="100">
        <f t="shared" si="17"/>
        <v>95.874134990464469</v>
      </c>
      <c r="AJ39" s="100"/>
      <c r="AK39" s="100">
        <f t="shared" si="18"/>
        <v>7.8099813200262229</v>
      </c>
    </row>
    <row r="40" spans="1:37">
      <c r="A40">
        <f>'sample processing comments'!A39</f>
        <v>2021</v>
      </c>
      <c r="B40" t="str">
        <f>'sample processing comments'!B39</f>
        <v>47_2000</v>
      </c>
      <c r="C40">
        <f>'sample processing comments'!C39</f>
        <v>10</v>
      </c>
      <c r="D40">
        <f>'sample processing comments'!D39</f>
        <v>3</v>
      </c>
      <c r="E40">
        <f>'mass filt'!V40</f>
        <v>513.5857142857144</v>
      </c>
      <c r="F40">
        <v>0.5</v>
      </c>
      <c r="G40" t="str">
        <f>'sample processing comments'!H39</f>
        <v>IN2021_V02 carboy 3 24/4/21 00:27 46˚ 45.46, 141˚ 49.46</v>
      </c>
      <c r="H40" s="143">
        <f t="shared" si="10"/>
        <v>17</v>
      </c>
      <c r="I40">
        <f t="shared" si="11"/>
        <v>60.421848739495815</v>
      </c>
      <c r="J40">
        <f t="shared" si="12"/>
        <v>22.069080252100846</v>
      </c>
      <c r="L40">
        <v>1</v>
      </c>
      <c r="M40" s="100">
        <f>'CHN raw data'!D41</f>
        <v>14.70237922668457</v>
      </c>
      <c r="N40" s="100">
        <f>'CHN raw data'!E41</f>
        <v>1.0836693048477173</v>
      </c>
      <c r="O40" s="100">
        <f>'CHN raw data'!F41</f>
        <v>1.2044748067855835</v>
      </c>
      <c r="R40">
        <f>pH_Sal!D33</f>
        <v>40.17</v>
      </c>
      <c r="S40">
        <f>pH_Sal!K33</f>
        <v>8.44</v>
      </c>
      <c r="T40" s="124">
        <f>'Schedule and logs'!O118</f>
        <v>44468</v>
      </c>
      <c r="U40" s="124">
        <f>'Schedule and logs'!O119</f>
        <v>44485</v>
      </c>
      <c r="V40" s="124">
        <f t="shared" si="13"/>
        <v>44476.5</v>
      </c>
      <c r="W40" s="143">
        <f t="shared" si="14"/>
        <v>170</v>
      </c>
      <c r="X40">
        <f t="shared" si="19"/>
        <v>153</v>
      </c>
      <c r="AB40">
        <f>'BSi data'!S71</f>
        <v>4.4339842469495538</v>
      </c>
      <c r="AC40">
        <f>'BSi data'!T71</f>
        <v>9.4851588963758893</v>
      </c>
      <c r="AF40">
        <f>'PIC data'!AF38</f>
        <v>65.585953679618768</v>
      </c>
      <c r="AG40">
        <f t="shared" si="15"/>
        <v>7.8700339773958561</v>
      </c>
      <c r="AH40">
        <f t="shared" si="16"/>
        <v>6.8323452492887142</v>
      </c>
      <c r="AI40" s="100">
        <f t="shared" si="17"/>
        <v>94.845639603031174</v>
      </c>
      <c r="AJ40" s="100"/>
      <c r="AK40" s="100">
        <f t="shared" si="18"/>
        <v>6.6170925833273984</v>
      </c>
    </row>
    <row r="41" spans="1:37">
      <c r="A41">
        <f>'sample processing comments'!A40</f>
        <v>2021</v>
      </c>
      <c r="B41" t="str">
        <f>'sample processing comments'!B40</f>
        <v>47_2000</v>
      </c>
      <c r="C41">
        <f>'sample processing comments'!C40</f>
        <v>11</v>
      </c>
      <c r="D41">
        <f>'sample processing comments'!D40</f>
        <v>3</v>
      </c>
      <c r="E41">
        <f>'mass filt'!V41</f>
        <v>552.91428571428571</v>
      </c>
      <c r="F41">
        <v>0.5</v>
      </c>
      <c r="G41" t="str">
        <f>'sample processing comments'!H40</f>
        <v>IN2021_V02 carboy 3 24/4/21 00:27 46˚ 45.46, 141˚ 49.46</v>
      </c>
      <c r="H41" s="143">
        <f t="shared" si="10"/>
        <v>17</v>
      </c>
      <c r="I41">
        <f t="shared" si="11"/>
        <v>65.048739495798316</v>
      </c>
      <c r="J41">
        <f t="shared" si="12"/>
        <v>23.759052100840336</v>
      </c>
      <c r="L41">
        <v>1</v>
      </c>
      <c r="M41" s="100">
        <f>'CHN raw data'!D43</f>
        <v>13.774026870727539</v>
      </c>
      <c r="N41" s="100">
        <f>'CHN raw data'!E43</f>
        <v>0.84470856189727783</v>
      </c>
      <c r="O41" s="100">
        <f>'CHN raw data'!F43</f>
        <v>0.745186448097229</v>
      </c>
      <c r="R41">
        <f>pH_Sal!D34</f>
        <v>40.119999999999997</v>
      </c>
      <c r="S41">
        <f>pH_Sal!K34</f>
        <v>8.57</v>
      </c>
      <c r="T41" s="124">
        <f>'Schedule and logs'!O119</f>
        <v>44485</v>
      </c>
      <c r="U41" s="124">
        <f>'Schedule and logs'!O120</f>
        <v>44502</v>
      </c>
      <c r="V41" s="124">
        <f t="shared" si="13"/>
        <v>44493.5</v>
      </c>
      <c r="W41" s="143">
        <f t="shared" si="14"/>
        <v>187</v>
      </c>
      <c r="X41">
        <f t="shared" si="19"/>
        <v>170</v>
      </c>
      <c r="AB41">
        <f>'BSi data'!S72</f>
        <v>4.0042009706992632</v>
      </c>
      <c r="AC41">
        <f>'BSi data'!T72</f>
        <v>8.565768470249866</v>
      </c>
      <c r="AF41">
        <f>'PIC data'!AF39</f>
        <v>71.95002637283919</v>
      </c>
      <c r="AG41">
        <f t="shared" si="15"/>
        <v>8.6336954860006507</v>
      </c>
      <c r="AH41">
        <f t="shared" si="16"/>
        <v>5.1403313847268883</v>
      </c>
      <c r="AI41" s="100">
        <f t="shared" si="17"/>
        <v>96.466758421215701</v>
      </c>
      <c r="AJ41" s="100"/>
      <c r="AK41" s="100">
        <f t="shared" si="18"/>
        <v>8.0467646144510034</v>
      </c>
    </row>
    <row r="42" spans="1:37">
      <c r="A42">
        <f>'sample processing comments'!A41</f>
        <v>2021</v>
      </c>
      <c r="B42" t="str">
        <f>'sample processing comments'!B41</f>
        <v>47_2000</v>
      </c>
      <c r="C42">
        <f>'sample processing comments'!C41</f>
        <v>12</v>
      </c>
      <c r="D42">
        <f>'sample processing comments'!D41</f>
        <v>4</v>
      </c>
      <c r="E42">
        <f>'mass filt'!V42</f>
        <v>787.27142857142871</v>
      </c>
      <c r="F42">
        <v>0.5</v>
      </c>
      <c r="G42" t="str">
        <f>'sample processing comments'!H41</f>
        <v>IN2021_V02 carboy 3 24/4/21 00:27 46˚ 45.46, 141˚ 49.46</v>
      </c>
      <c r="H42" s="143">
        <f t="shared" si="10"/>
        <v>17</v>
      </c>
      <c r="I42">
        <f t="shared" si="11"/>
        <v>92.620168067226913</v>
      </c>
      <c r="J42">
        <f t="shared" si="12"/>
        <v>33.82951638655463</v>
      </c>
      <c r="L42">
        <v>1</v>
      </c>
      <c r="M42" s="100">
        <f>'CHN raw data'!D44</f>
        <v>13.801180839538574</v>
      </c>
      <c r="N42" s="100">
        <f>'CHN raw data'!E44</f>
        <v>0.82383155822753906</v>
      </c>
      <c r="O42" s="100">
        <f>'CHN raw data'!F44</f>
        <v>0.7299046516418457</v>
      </c>
      <c r="Q42" t="s">
        <v>2349</v>
      </c>
      <c r="R42">
        <f>AVERAGE(pH_Sal!D35,pH_Sal!G35)</f>
        <v>40.43</v>
      </c>
      <c r="S42">
        <f>AVERAGE(pH_Sal!K35,pH_Sal!N35)</f>
        <v>8.5500000000000007</v>
      </c>
      <c r="T42" s="124">
        <f>'Schedule and logs'!O120</f>
        <v>44502</v>
      </c>
      <c r="U42" s="124">
        <f>'Schedule and logs'!O121</f>
        <v>44519</v>
      </c>
      <c r="V42" s="124">
        <f t="shared" si="13"/>
        <v>44510.5</v>
      </c>
      <c r="W42" s="143">
        <f t="shared" si="14"/>
        <v>204</v>
      </c>
      <c r="X42">
        <f t="shared" si="19"/>
        <v>187</v>
      </c>
      <c r="AB42">
        <f>'BSi data'!S73</f>
        <v>4.0059288674033144</v>
      </c>
      <c r="AC42">
        <f>'BSi data'!T73</f>
        <v>8.5694647790055249</v>
      </c>
      <c r="AF42">
        <f>'PIC data'!AF40</f>
        <v>71.920992794736691</v>
      </c>
      <c r="AG42">
        <f t="shared" si="15"/>
        <v>8.6302115807841737</v>
      </c>
      <c r="AH42">
        <f t="shared" si="16"/>
        <v>5.1709692587544005</v>
      </c>
      <c r="AI42" s="100">
        <f t="shared" si="17"/>
        <v>96.5092310686925</v>
      </c>
      <c r="AJ42" s="100"/>
      <c r="AK42" s="100">
        <f t="shared" si="18"/>
        <v>8.2642025404234829</v>
      </c>
    </row>
    <row r="43" spans="1:37">
      <c r="A43">
        <f>'sample processing comments'!A42</f>
        <v>2021</v>
      </c>
      <c r="B43" t="str">
        <f>'sample processing comments'!B42</f>
        <v>47_2000</v>
      </c>
      <c r="C43">
        <f>'sample processing comments'!C42</f>
        <v>13</v>
      </c>
      <c r="D43">
        <f>'sample processing comments'!D42</f>
        <v>4</v>
      </c>
      <c r="E43">
        <f>'mass filt'!V43</f>
        <v>769.57142857142867</v>
      </c>
      <c r="F43">
        <v>0.5</v>
      </c>
      <c r="G43" t="str">
        <f>'sample processing comments'!H42</f>
        <v>IN2021_V02 carboy 3 24/4/21 00:27 46˚ 45.46, 141˚ 49.46</v>
      </c>
      <c r="H43" s="143">
        <f t="shared" si="10"/>
        <v>17</v>
      </c>
      <c r="I43">
        <f t="shared" si="11"/>
        <v>90.537815126050432</v>
      </c>
      <c r="J43">
        <f t="shared" si="12"/>
        <v>33.068936974789921</v>
      </c>
      <c r="L43">
        <v>1</v>
      </c>
      <c r="M43" s="100">
        <f>'CHN raw data'!D45</f>
        <v>13.396884918212891</v>
      </c>
      <c r="N43" s="100">
        <f>'CHN raw data'!E45</f>
        <v>0.76824688911437988</v>
      </c>
      <c r="O43" s="100">
        <f>'CHN raw data'!F45</f>
        <v>0.65326589345932007</v>
      </c>
      <c r="R43">
        <f>pH_Sal!D36</f>
        <v>40.4</v>
      </c>
      <c r="S43">
        <f>pH_Sal!K36</f>
        <v>8.5500000000000007</v>
      </c>
      <c r="T43" s="124">
        <f>'Schedule and logs'!O121</f>
        <v>44519</v>
      </c>
      <c r="U43" s="124">
        <f>'Schedule and logs'!O122</f>
        <v>44536</v>
      </c>
      <c r="V43" s="124">
        <f t="shared" si="13"/>
        <v>44527.5</v>
      </c>
      <c r="W43" s="143">
        <f t="shared" si="14"/>
        <v>221</v>
      </c>
      <c r="X43">
        <f t="shared" si="19"/>
        <v>204</v>
      </c>
      <c r="AB43">
        <f>'BSi data'!S74</f>
        <v>4.2977634931665509</v>
      </c>
      <c r="AC43">
        <f>'BSi data'!T74</f>
        <v>9.1937560806115357</v>
      </c>
      <c r="AF43">
        <f>'PIC data'!AF41</f>
        <v>73.245491660516976</v>
      </c>
      <c r="AG43">
        <f t="shared" si="15"/>
        <v>8.7891457807446223</v>
      </c>
      <c r="AH43">
        <f t="shared" si="16"/>
        <v>4.6077391374682684</v>
      </c>
      <c r="AI43" s="100">
        <f t="shared" si="17"/>
        <v>97.287587012425988</v>
      </c>
      <c r="AJ43" s="100"/>
      <c r="AK43" s="100">
        <f t="shared" si="18"/>
        <v>8.2279762089008539</v>
      </c>
    </row>
    <row r="44" spans="1:37">
      <c r="A44">
        <f>'sample processing comments'!A43</f>
        <v>2021</v>
      </c>
      <c r="B44" t="str">
        <f>'sample processing comments'!B43</f>
        <v>47_2000</v>
      </c>
      <c r="C44">
        <f>'sample processing comments'!C43</f>
        <v>14</v>
      </c>
      <c r="D44">
        <f>'sample processing comments'!D43</f>
        <v>6</v>
      </c>
      <c r="E44">
        <f>'mass filt'!V44</f>
        <v>867.31428571428569</v>
      </c>
      <c r="F44">
        <v>0.5</v>
      </c>
      <c r="G44" t="str">
        <f>'sample processing comments'!H43</f>
        <v>IN2021_V02 carboy 3 24/4/21 00:27 46˚ 45.46, 141˚ 49.46</v>
      </c>
      <c r="H44" s="143">
        <f t="shared" si="10"/>
        <v>17</v>
      </c>
      <c r="I44">
        <f t="shared" si="11"/>
        <v>102.03697478991596</v>
      </c>
      <c r="J44">
        <f t="shared" si="12"/>
        <v>37.269005042016808</v>
      </c>
      <c r="L44">
        <v>1</v>
      </c>
      <c r="M44" s="100">
        <f>'CHN raw data'!D47</f>
        <v>12.523312568664551</v>
      </c>
      <c r="N44" s="100">
        <f>'CHN raw data'!E47</f>
        <v>0.7290109395980835</v>
      </c>
      <c r="O44" s="100">
        <f>'CHN raw data'!F47</f>
        <v>0.56312376260757446</v>
      </c>
      <c r="R44">
        <f>pH_Sal!D37</f>
        <v>40.29</v>
      </c>
      <c r="S44">
        <f>pH_Sal!K37</f>
        <v>8.56</v>
      </c>
      <c r="T44" s="124">
        <f>'Schedule and logs'!O122</f>
        <v>44536</v>
      </c>
      <c r="U44" s="124">
        <f>'Schedule and logs'!O123</f>
        <v>44553</v>
      </c>
      <c r="V44" s="124">
        <f t="shared" si="13"/>
        <v>44544.5</v>
      </c>
      <c r="W44" s="143">
        <f t="shared" si="14"/>
        <v>238</v>
      </c>
      <c r="X44">
        <f t="shared" si="19"/>
        <v>221</v>
      </c>
      <c r="AB44">
        <f>'BSi data'!S75</f>
        <v>6.0145513583606149</v>
      </c>
      <c r="AC44">
        <f>'BSi data'!T75</f>
        <v>12.866300858807026</v>
      </c>
      <c r="AF44">
        <f>'PIC data'!AF42</f>
        <v>71.321726370593183</v>
      </c>
      <c r="AG44">
        <f t="shared" si="15"/>
        <v>8.558302172520321</v>
      </c>
      <c r="AH44">
        <f t="shared" si="16"/>
        <v>3.9650103961442298</v>
      </c>
      <c r="AI44" s="100">
        <f t="shared" si="17"/>
        <v>98.026343195386289</v>
      </c>
      <c r="AJ44" s="100"/>
      <c r="AK44" s="100">
        <f t="shared" si="18"/>
        <v>8.2136388693550604</v>
      </c>
    </row>
    <row r="45" spans="1:37">
      <c r="A45">
        <f>'sample processing comments'!A44</f>
        <v>2021</v>
      </c>
      <c r="B45" t="str">
        <f>'sample processing comments'!B44</f>
        <v>47_2000</v>
      </c>
      <c r="C45">
        <f>'sample processing comments'!C44</f>
        <v>15</v>
      </c>
      <c r="D45">
        <f>'sample processing comments'!D44</f>
        <v>12</v>
      </c>
      <c r="E45">
        <f>'mass filt'!V45</f>
        <v>818.57142857142867</v>
      </c>
      <c r="F45">
        <v>0.5</v>
      </c>
      <c r="G45" t="str">
        <f>'sample processing comments'!H44</f>
        <v xml:space="preserve">IN2021_V02 carboy 3 24/4/21 00:27 46˚ 45.46, 141˚ 49.46 + IN2022_V03 carboy 3 12/5/22 01:26 -46.762, 141.651 </v>
      </c>
      <c r="H45" s="143">
        <f t="shared" si="10"/>
        <v>17</v>
      </c>
      <c r="I45">
        <f t="shared" si="11"/>
        <v>96.302521008403374</v>
      </c>
      <c r="J45">
        <f t="shared" si="12"/>
        <v>35.174495798319334</v>
      </c>
      <c r="L45">
        <v>1</v>
      </c>
      <c r="M45" s="100">
        <f>'CHN raw data'!D48</f>
        <v>13.733110427856445</v>
      </c>
      <c r="N45" s="100">
        <f>'CHN raw data'!E48</f>
        <v>1.0658955574035645</v>
      </c>
      <c r="O45" s="100">
        <f>'CHN raw data'!F48</f>
        <v>1.1129355430603027</v>
      </c>
      <c r="R45">
        <f>pH_Sal!D38</f>
        <v>39.74</v>
      </c>
      <c r="S45">
        <f>pH_Sal!K38</f>
        <v>8.48</v>
      </c>
      <c r="T45" s="124">
        <f>'Schedule and logs'!O123</f>
        <v>44553</v>
      </c>
      <c r="U45" s="124">
        <f>'Schedule and logs'!O124</f>
        <v>44570</v>
      </c>
      <c r="V45" s="124">
        <f t="shared" si="13"/>
        <v>44561.5</v>
      </c>
      <c r="W45" s="143">
        <f t="shared" si="14"/>
        <v>255</v>
      </c>
      <c r="X45">
        <f t="shared" si="19"/>
        <v>238</v>
      </c>
      <c r="AB45">
        <f>'BSi data'!S76</f>
        <v>7.4566302159198017</v>
      </c>
      <c r="AC45">
        <f>'BSi data'!T76</f>
        <v>15.951189379658986</v>
      </c>
      <c r="AF45">
        <f>'PIC data'!AF43</f>
        <v>62.153693182149141</v>
      </c>
      <c r="AG45">
        <f t="shared" si="15"/>
        <v>7.4581773950198391</v>
      </c>
      <c r="AH45">
        <f t="shared" si="16"/>
        <v>6.2749330328366062</v>
      </c>
      <c r="AI45" s="100">
        <f t="shared" si="17"/>
        <v>97.364366065811154</v>
      </c>
      <c r="AJ45" s="100"/>
      <c r="AK45" s="100">
        <f t="shared" si="18"/>
        <v>6.5770964525331195</v>
      </c>
    </row>
    <row r="46" spans="1:37">
      <c r="A46">
        <f>'sample processing comments'!A45</f>
        <v>2021</v>
      </c>
      <c r="B46" t="str">
        <f>'sample processing comments'!B45</f>
        <v>47_2000</v>
      </c>
      <c r="C46">
        <f>'sample processing comments'!C45</f>
        <v>16</v>
      </c>
      <c r="D46">
        <f>'sample processing comments'!D45</f>
        <v>45</v>
      </c>
      <c r="E46">
        <f>'mass filt'!V46</f>
        <v>1713.0714285714289</v>
      </c>
      <c r="F46">
        <v>0.5</v>
      </c>
      <c r="G46" t="str">
        <f>'sample processing comments'!H45</f>
        <v xml:space="preserve">IN2022_V03 12/5/22 carboy 3 01:26 -46.762, 141.651 </v>
      </c>
      <c r="H46" s="143">
        <f t="shared" si="10"/>
        <v>17</v>
      </c>
      <c r="I46">
        <f t="shared" si="11"/>
        <v>201.53781512605045</v>
      </c>
      <c r="J46">
        <f t="shared" si="12"/>
        <v>73.611686974789933</v>
      </c>
      <c r="L46">
        <v>1</v>
      </c>
      <c r="M46" s="100">
        <f>'CHN raw data'!D50</f>
        <v>12.76450252532959</v>
      </c>
      <c r="N46" s="100">
        <f>'CHN raw data'!E50</f>
        <v>1.3494713306427002</v>
      </c>
      <c r="O46" s="100">
        <f>'CHN raw data'!F50</f>
        <v>1.0453460216522217</v>
      </c>
      <c r="R46">
        <f>pH_Sal!D39</f>
        <v>39.159999999999997</v>
      </c>
      <c r="S46">
        <f>pH_Sal!K39</f>
        <v>8.4499999999999993</v>
      </c>
      <c r="T46" s="124">
        <f>'Schedule and logs'!O124</f>
        <v>44570</v>
      </c>
      <c r="U46" s="124">
        <f>'Schedule and logs'!O125</f>
        <v>44587</v>
      </c>
      <c r="V46" s="124">
        <f t="shared" si="13"/>
        <v>44578.5</v>
      </c>
      <c r="W46" s="143">
        <f t="shared" si="14"/>
        <v>272</v>
      </c>
      <c r="X46">
        <f t="shared" si="19"/>
        <v>255</v>
      </c>
      <c r="AB46">
        <f>'BSi data'!S77</f>
        <v>13.6199138165038</v>
      </c>
      <c r="AC46">
        <f>'BSi data'!T77</f>
        <v>29.135657573289901</v>
      </c>
      <c r="AF46">
        <f>'PIC data'!AF44</f>
        <v>45.86546712304547</v>
      </c>
      <c r="AG46">
        <f t="shared" si="15"/>
        <v>5.5036599210064061</v>
      </c>
      <c r="AH46">
        <f t="shared" si="16"/>
        <v>7.2608426043231837</v>
      </c>
      <c r="AI46" s="100">
        <f t="shared" si="17"/>
        <v>97.879900758908278</v>
      </c>
      <c r="AJ46" s="100"/>
      <c r="AK46" s="100">
        <f t="shared" si="18"/>
        <v>8.1025567154344618</v>
      </c>
    </row>
    <row r="47" spans="1:37">
      <c r="A47">
        <f>'sample processing comments'!A46</f>
        <v>2021</v>
      </c>
      <c r="B47" t="str">
        <f>'sample processing comments'!B46</f>
        <v>47_2000</v>
      </c>
      <c r="C47">
        <f>'sample processing comments'!C46</f>
        <v>17</v>
      </c>
      <c r="D47">
        <f>'sample processing comments'!D46</f>
        <v>32</v>
      </c>
      <c r="E47">
        <f>'mass filt'!V48</f>
        <v>1153.5714285714287</v>
      </c>
      <c r="F47">
        <v>0.5</v>
      </c>
      <c r="G47" t="str">
        <f>'sample processing comments'!H46</f>
        <v xml:space="preserve">IN2022_V03 12/5/22 carboy 3 01:26 -46.762, 141.651 </v>
      </c>
      <c r="H47" s="143">
        <f t="shared" si="10"/>
        <v>17</v>
      </c>
      <c r="I47">
        <f t="shared" si="11"/>
        <v>135.71428571428572</v>
      </c>
      <c r="J47">
        <f t="shared" si="12"/>
        <v>49.569642857142867</v>
      </c>
      <c r="L47">
        <v>1</v>
      </c>
      <c r="M47" s="100">
        <f>AVERAGE('CHN raw data'!D51:D52)</f>
        <v>12.828253269195557</v>
      </c>
      <c r="N47" s="100">
        <f>AVERAGE('CHN raw data'!E51:E52)</f>
        <v>1.3103580474853516</v>
      </c>
      <c r="O47" s="100">
        <f>AVERAGE('CHN raw data'!F51:F52)</f>
        <v>1.0469846725463867</v>
      </c>
      <c r="R47">
        <f>pH_Sal!D40</f>
        <v>39.54</v>
      </c>
      <c r="S47">
        <f>pH_Sal!K40</f>
        <v>8.52</v>
      </c>
      <c r="T47" s="124">
        <f>'Schedule and logs'!O125</f>
        <v>44587</v>
      </c>
      <c r="U47" s="124">
        <f>'Schedule and logs'!O126</f>
        <v>44604</v>
      </c>
      <c r="V47" s="124">
        <f t="shared" si="13"/>
        <v>44595.5</v>
      </c>
      <c r="W47" s="143">
        <f t="shared" si="14"/>
        <v>289</v>
      </c>
      <c r="X47">
        <f t="shared" si="19"/>
        <v>272</v>
      </c>
      <c r="AB47">
        <f>AVERAGE('BSi data'!S78:S80)</f>
        <v>12.655903717881202</v>
      </c>
      <c r="AC47">
        <f>AVERAGE('BSi data'!T78:T80)</f>
        <v>27.07345156310009</v>
      </c>
      <c r="AF47">
        <f>'PIC data'!AF45</f>
        <v>47.520875354083962</v>
      </c>
      <c r="AG47">
        <f t="shared" si="15"/>
        <v>5.7023018297354433</v>
      </c>
      <c r="AH47">
        <f t="shared" si="16"/>
        <v>7.1259514394601133</v>
      </c>
      <c r="AI47" s="100">
        <f t="shared" si="17"/>
        <v>96.949499755937325</v>
      </c>
      <c r="AJ47" s="100"/>
      <c r="AK47" s="100">
        <f t="shared" si="18"/>
        <v>7.9395824401943571</v>
      </c>
    </row>
    <row r="48" spans="1:37">
      <c r="A48">
        <f>'sample processing comments'!A47</f>
        <v>2021</v>
      </c>
      <c r="B48" t="str">
        <f>'sample processing comments'!B47</f>
        <v>47_2000</v>
      </c>
      <c r="C48">
        <f>'sample processing comments'!C47</f>
        <v>18</v>
      </c>
      <c r="D48">
        <f>'sample processing comments'!D47</f>
        <v>13</v>
      </c>
      <c r="E48">
        <f>'mass filt'!V50</f>
        <v>720.6285714285716</v>
      </c>
      <c r="F48">
        <v>0.5</v>
      </c>
      <c r="G48" t="str">
        <f>'sample processing comments'!H47</f>
        <v xml:space="preserve">IN2022_V03 12/5/22 carboy 3 01:26 -46.762, 141.651 </v>
      </c>
      <c r="H48" s="143">
        <f t="shared" si="10"/>
        <v>17</v>
      </c>
      <c r="I48">
        <f t="shared" si="11"/>
        <v>84.779831932773135</v>
      </c>
      <c r="J48">
        <f t="shared" si="12"/>
        <v>30.965833613445383</v>
      </c>
      <c r="L48">
        <v>1</v>
      </c>
      <c r="M48" s="100">
        <f>'CHN raw data'!D53</f>
        <v>14.649021148681641</v>
      </c>
      <c r="N48" s="100">
        <f>'CHN raw data'!E53</f>
        <v>1.4096204042434692</v>
      </c>
      <c r="O48" s="100">
        <f>'CHN raw data'!F53</f>
        <v>1.2081836462020874</v>
      </c>
      <c r="R48">
        <f>pH_Sal!D41</f>
        <v>40.119999999999997</v>
      </c>
      <c r="S48">
        <f>pH_Sal!K41</f>
        <v>8.5500000000000007</v>
      </c>
      <c r="T48" s="124">
        <f>'Schedule and logs'!O126</f>
        <v>44604</v>
      </c>
      <c r="U48" s="124">
        <f>'Schedule and logs'!O127</f>
        <v>44621</v>
      </c>
      <c r="V48" s="124">
        <f t="shared" si="13"/>
        <v>44612.5</v>
      </c>
      <c r="W48" s="143">
        <f t="shared" si="14"/>
        <v>306</v>
      </c>
      <c r="X48">
        <f t="shared" si="19"/>
        <v>289</v>
      </c>
      <c r="AB48">
        <f>'BSi data'!S81</f>
        <v>8.8911986531280149</v>
      </c>
      <c r="AC48">
        <f>'BSi data'!T81</f>
        <v>19.020011643519489</v>
      </c>
      <c r="AF48">
        <f>'PIC data'!AF46</f>
        <v>51.782964065476811</v>
      </c>
      <c r="AG48">
        <f t="shared" si="15"/>
        <v>6.2137342492012086</v>
      </c>
      <c r="AH48">
        <f t="shared" si="16"/>
        <v>8.4352868994804311</v>
      </c>
      <c r="AI48" s="100">
        <f t="shared" si="17"/>
        <v>95.152808168640391</v>
      </c>
      <c r="AJ48" s="100"/>
      <c r="AK48" s="100">
        <f t="shared" si="18"/>
        <v>8.1444550985227124</v>
      </c>
    </row>
    <row r="49" spans="1:37">
      <c r="A49">
        <f>'sample processing comments'!A48</f>
        <v>2021</v>
      </c>
      <c r="B49" t="str">
        <f>'sample processing comments'!B48</f>
        <v>47_2000</v>
      </c>
      <c r="C49">
        <f>'sample processing comments'!C48</f>
        <v>19</v>
      </c>
      <c r="D49">
        <f>'sample processing comments'!D48</f>
        <v>4</v>
      </c>
      <c r="E49">
        <f>'mass filt'!V51</f>
        <v>450.4571428571428</v>
      </c>
      <c r="F49">
        <v>0.5</v>
      </c>
      <c r="G49" t="str">
        <f>'sample processing comments'!H48</f>
        <v xml:space="preserve">IN2022_V03 12/5/22 carboy 3 01:26 -46.762, 141.651 </v>
      </c>
      <c r="H49" s="143">
        <f t="shared" si="10"/>
        <v>17</v>
      </c>
      <c r="I49">
        <f t="shared" si="11"/>
        <v>52.994957983193274</v>
      </c>
      <c r="J49">
        <f t="shared" si="12"/>
        <v>19.356408403361343</v>
      </c>
      <c r="L49">
        <v>1</v>
      </c>
      <c r="M49" s="100">
        <f>'CHN raw data'!D54</f>
        <v>14.125002861022949</v>
      </c>
      <c r="N49" s="100">
        <f>'CHN raw data'!E54</f>
        <v>1.1774301528930664</v>
      </c>
      <c r="O49" s="100">
        <f>'CHN raw data'!F54</f>
        <v>1.0670485496520996</v>
      </c>
      <c r="R49">
        <f>pH_Sal!D42</f>
        <v>40.25</v>
      </c>
      <c r="S49">
        <f>pH_Sal!K42</f>
        <v>8.57</v>
      </c>
      <c r="T49" s="124">
        <f>'Schedule and logs'!O127</f>
        <v>44621</v>
      </c>
      <c r="U49" s="124">
        <f>'Schedule and logs'!O128</f>
        <v>44638</v>
      </c>
      <c r="V49" s="124">
        <f t="shared" si="13"/>
        <v>44629.5</v>
      </c>
      <c r="W49" s="143">
        <f t="shared" si="14"/>
        <v>323</v>
      </c>
      <c r="X49">
        <f t="shared" si="19"/>
        <v>306</v>
      </c>
      <c r="AB49">
        <f>'BSi data'!S84</f>
        <v>7.9501352592895067</v>
      </c>
      <c r="AC49">
        <f>'BSi data'!T84</f>
        <v>17.006893119640669</v>
      </c>
      <c r="AF49">
        <f>'PIC data'!AF47</f>
        <v>59.882213227238921</v>
      </c>
      <c r="AG49">
        <f t="shared" si="15"/>
        <v>7.1856095139237945</v>
      </c>
      <c r="AH49">
        <f t="shared" si="16"/>
        <v>6.9393933470991547</v>
      </c>
      <c r="AI49" s="100">
        <f t="shared" si="17"/>
        <v>97.726529953658215</v>
      </c>
      <c r="AJ49" s="100"/>
      <c r="AK49" s="100">
        <f t="shared" si="18"/>
        <v>7.5863426321684599</v>
      </c>
    </row>
    <row r="50" spans="1:37">
      <c r="A50">
        <f>'sample processing comments'!A49</f>
        <v>2021</v>
      </c>
      <c r="B50" t="str">
        <f>'sample processing comments'!B49</f>
        <v>47_2000</v>
      </c>
      <c r="C50">
        <f>'sample processing comments'!C49</f>
        <v>20</v>
      </c>
      <c r="D50">
        <f>'sample processing comments'!D49</f>
        <v>2</v>
      </c>
      <c r="E50">
        <f>'mass filt'!V52</f>
        <v>309.28571428571433</v>
      </c>
      <c r="F50">
        <v>0.5</v>
      </c>
      <c r="G50" t="str">
        <f>'sample processing comments'!H49</f>
        <v xml:space="preserve">IN2022_V03 12/5/22 carboy 3 01:26 -46.762, 141.651 </v>
      </c>
      <c r="H50" s="143">
        <f t="shared" si="10"/>
        <v>17</v>
      </c>
      <c r="I50">
        <f t="shared" si="11"/>
        <v>36.386554621848745</v>
      </c>
      <c r="J50">
        <f t="shared" si="12"/>
        <v>13.290189075630256</v>
      </c>
      <c r="L50">
        <v>1</v>
      </c>
      <c r="M50" s="100">
        <f>'CHN raw data'!D56</f>
        <v>13.717098236083984</v>
      </c>
      <c r="N50" s="100">
        <f>'CHN raw data'!E56</f>
        <v>1.0279941558837891</v>
      </c>
      <c r="O50" s="100">
        <f>'CHN raw data'!F56</f>
        <v>0.8848642110824585</v>
      </c>
      <c r="R50">
        <f>pH_Sal!D43</f>
        <v>40.53</v>
      </c>
      <c r="S50">
        <f>pH_Sal!K43</f>
        <v>8.58</v>
      </c>
      <c r="T50" s="124">
        <f>'Schedule and logs'!O128</f>
        <v>44638</v>
      </c>
      <c r="U50" s="124">
        <f>'Schedule and logs'!O129</f>
        <v>44655</v>
      </c>
      <c r="V50" s="124">
        <f t="shared" si="13"/>
        <v>44646.5</v>
      </c>
      <c r="W50" s="143">
        <f t="shared" si="14"/>
        <v>340</v>
      </c>
      <c r="X50">
        <f t="shared" si="19"/>
        <v>323</v>
      </c>
      <c r="AB50">
        <f>'BSi data'!S85</f>
        <v>7.3187015320597695</v>
      </c>
      <c r="AC50">
        <f>'BSi data'!T85</f>
        <v>15.65613296765652</v>
      </c>
      <c r="AF50">
        <f>'PIC data'!AF48</f>
        <v>63.657042000714448</v>
      </c>
      <c r="AG50">
        <f t="shared" si="15"/>
        <v>7.6385728245013134</v>
      </c>
      <c r="AH50">
        <f t="shared" si="16"/>
        <v>6.078525411582671</v>
      </c>
      <c r="AI50" s="100">
        <f t="shared" si="17"/>
        <v>98.108105500295068</v>
      </c>
      <c r="AJ50" s="100"/>
      <c r="AK50" s="100">
        <f t="shared" si="18"/>
        <v>8.0133983889034877</v>
      </c>
    </row>
    <row r="51" spans="1:37">
      <c r="A51">
        <f>'sample processing comments'!A50</f>
        <v>2021</v>
      </c>
      <c r="B51" t="str">
        <f>'sample processing comments'!B50</f>
        <v>47_2000</v>
      </c>
      <c r="C51">
        <f>'sample processing comments'!C50</f>
        <v>21</v>
      </c>
      <c r="D51">
        <f>'sample processing comments'!D50</f>
        <v>2</v>
      </c>
      <c r="E51">
        <f>'mass filt'!V53</f>
        <v>205.5</v>
      </c>
      <c r="F51">
        <v>0.5</v>
      </c>
      <c r="G51" t="str">
        <f>'sample processing comments'!H50</f>
        <v xml:space="preserve">IN2022_V03 12/5/22 carboy 3 01:26 -46.762, 141.651 </v>
      </c>
      <c r="H51" s="143">
        <f t="shared" si="10"/>
        <v>17</v>
      </c>
      <c r="I51">
        <f t="shared" si="11"/>
        <v>24.176470588235293</v>
      </c>
      <c r="J51">
        <f t="shared" si="12"/>
        <v>8.8304558823529415</v>
      </c>
      <c r="L51">
        <v>1</v>
      </c>
      <c r="M51" s="100">
        <f>'CHN raw data'!D57</f>
        <v>15.621224403381348</v>
      </c>
      <c r="N51" s="100">
        <f>'CHN raw data'!E57</f>
        <v>1.2585808038711548</v>
      </c>
      <c r="O51" s="100">
        <f>'CHN raw data'!F57</f>
        <v>1.2779250144958496</v>
      </c>
      <c r="R51">
        <f>pH_Sal!D44</f>
        <v>40.94</v>
      </c>
      <c r="S51">
        <f>pH_Sal!K44</f>
        <v>8.6199999999999992</v>
      </c>
      <c r="T51" s="124">
        <f>'Schedule and logs'!O129</f>
        <v>44655</v>
      </c>
      <c r="U51" s="124">
        <f>'Schedule and logs'!O130</f>
        <v>44672</v>
      </c>
      <c r="V51" s="124">
        <f t="shared" si="13"/>
        <v>44663.5</v>
      </c>
      <c r="W51" s="143">
        <f t="shared" si="14"/>
        <v>357</v>
      </c>
      <c r="X51">
        <f t="shared" si="19"/>
        <v>340</v>
      </c>
      <c r="AB51">
        <f>'BSi data'!S86</f>
        <v>5.8014736003641341</v>
      </c>
      <c r="AC51">
        <f>'BSi data'!T86</f>
        <v>12.410485889849797</v>
      </c>
      <c r="AF51">
        <f>'PIC data'!AF49</f>
        <v>63.059691919776405</v>
      </c>
      <c r="AG51">
        <f t="shared" si="15"/>
        <v>7.5668933692272873</v>
      </c>
      <c r="AH51">
        <f t="shared" si="16"/>
        <v>8.0543310341540604</v>
      </c>
      <c r="AI51" s="100">
        <f t="shared" si="17"/>
        <v>98.254859532648609</v>
      </c>
      <c r="AJ51" s="100"/>
      <c r="AK51" s="100">
        <f t="shared" si="18"/>
        <v>7.3522324922194278</v>
      </c>
    </row>
    <row r="52" spans="1:37">
      <c r="A52" s="48" t="str">
        <f>'sample processing comments'!A51</f>
        <v>Pick up 14/05/2022 IN2022_V03</v>
      </c>
      <c r="V52" s="124"/>
      <c r="W52" s="143"/>
    </row>
    <row r="54" spans="1:37" s="129" customFormat="1">
      <c r="A54" s="129" t="str">
        <f>'sample processing comments'!A53</f>
        <v>Deployment 24/04/2021 IN2021_V02</v>
      </c>
      <c r="B54" s="129" t="str">
        <f>'sample processing comments'!B53</f>
        <v>McLane-PARFLUX-Mark78H-21 ; frame# 10705, controller# 11649-01 and Motor # 11649-01 Cup set Lx21</v>
      </c>
      <c r="W54" s="117">
        <v>0</v>
      </c>
      <c r="X54" s="118"/>
    </row>
    <row r="55" spans="1:37">
      <c r="A55">
        <f>'sample processing comments'!A54</f>
        <v>2021</v>
      </c>
      <c r="B55" t="str">
        <f>'sample processing comments'!B54</f>
        <v>47_3800</v>
      </c>
      <c r="C55" t="str">
        <f>'sample processing comments'!C54</f>
        <v>L 1</v>
      </c>
      <c r="D55">
        <f>'sample processing comments'!D54</f>
        <v>5</v>
      </c>
      <c r="E55">
        <f>'mass filt'!V56</f>
        <v>407.64285714285722</v>
      </c>
      <c r="F55">
        <v>0.5</v>
      </c>
      <c r="G55" t="str">
        <f>'sample processing comments'!H54</f>
        <v xml:space="preserve">IN2022_V03 12/5/22 carboy 3 01:26 -46.762, 141.651 </v>
      </c>
      <c r="H55" s="143">
        <f>U55-T55</f>
        <v>17</v>
      </c>
      <c r="I55">
        <f>E55/F55/H55</f>
        <v>47.957983193277322</v>
      </c>
      <c r="J55">
        <f>0.001*365.25*E55/F55/H55</f>
        <v>17.516653361344542</v>
      </c>
      <c r="L55">
        <v>1</v>
      </c>
      <c r="M55" s="100">
        <f>'CHN raw data'!D58</f>
        <v>15.081723213195801</v>
      </c>
      <c r="N55" s="100">
        <f>'CHN raw data'!E58</f>
        <v>1.1013801097869873</v>
      </c>
      <c r="O55" s="100">
        <f>'CHN raw data'!F58</f>
        <v>0.97975075244903564</v>
      </c>
      <c r="R55">
        <f>pH_Sal!D45</f>
        <v>38.340000000000003</v>
      </c>
      <c r="S55">
        <f>pH_Sal!K45</f>
        <v>8.48</v>
      </c>
      <c r="T55" s="124">
        <f>'Schedule and logs'!Y106</f>
        <v>44315</v>
      </c>
      <c r="U55" s="124">
        <f>'Schedule and logs'!Y107</f>
        <v>44332</v>
      </c>
      <c r="V55" s="124">
        <f>AVERAGE(T55:U55)</f>
        <v>44323.5</v>
      </c>
      <c r="W55" s="143">
        <f>H55+W54</f>
        <v>17</v>
      </c>
      <c r="X55">
        <v>0</v>
      </c>
      <c r="AB55">
        <f>'BSi data'!S87</f>
        <v>3.3978077252050856</v>
      </c>
      <c r="AC55">
        <f>'BSi data'!T87</f>
        <v>7.2685748026904102</v>
      </c>
      <c r="AF55">
        <f>'PIC data'!AF50</f>
        <v>67.120804797484496</v>
      </c>
      <c r="AG55">
        <f>AF55*12.01/100.0869</f>
        <v>8.0542095480806069</v>
      </c>
      <c r="AH55">
        <f>M55-AG55</f>
        <v>7.0275136651151939</v>
      </c>
      <c r="AI55" s="100">
        <f>AF55+(AC55*1.11)+(AH55*2.2)+3.7</f>
        <v>94.349452891724283</v>
      </c>
      <c r="AJ55" s="100"/>
      <c r="AK55" s="100">
        <f>(AH55/12.01)/(O55/14.01)</f>
        <v>8.367220633687257</v>
      </c>
    </row>
    <row r="56" spans="1:37">
      <c r="A56">
        <f>'sample processing comments'!A55</f>
        <v>2021</v>
      </c>
      <c r="B56" t="str">
        <f>'sample processing comments'!B55</f>
        <v>47_3800</v>
      </c>
      <c r="C56">
        <f>'sample processing comments'!C55</f>
        <v>2</v>
      </c>
      <c r="D56">
        <f>'sample processing comments'!D55</f>
        <v>4</v>
      </c>
      <c r="E56">
        <f>'mass filt'!V57</f>
        <v>343.48571428571427</v>
      </c>
      <c r="F56">
        <v>0.5</v>
      </c>
      <c r="G56" t="str">
        <f>'sample processing comments'!H55</f>
        <v xml:space="preserve">IN2022_V03 12/5/22 carboy 3 01:26 -46.762, 141.651 </v>
      </c>
      <c r="H56" s="143">
        <f t="shared" ref="H56:H75" si="20">U56-T56</f>
        <v>17</v>
      </c>
      <c r="I56">
        <f t="shared" ref="I56:I75" si="21">E56/F56/H56</f>
        <v>40.410084033613444</v>
      </c>
      <c r="J56">
        <f t="shared" ref="J56:J75" si="22">0.001*365.25*E56/F56/H56</f>
        <v>14.759783193277311</v>
      </c>
      <c r="L56">
        <v>1</v>
      </c>
      <c r="M56" s="100">
        <f>'CHN raw data'!D59</f>
        <v>13.483695030212402</v>
      </c>
      <c r="N56" s="100">
        <f>'CHN raw data'!E59</f>
        <v>0.79430639743804932</v>
      </c>
      <c r="O56" s="100">
        <f>'CHN raw data'!F59</f>
        <v>0.69368797540664673</v>
      </c>
      <c r="R56">
        <f>pH_Sal!D46</f>
        <v>38.64</v>
      </c>
      <c r="S56">
        <f>pH_Sal!K46</f>
        <v>8.6300000000000008</v>
      </c>
      <c r="T56" s="124">
        <f>'Schedule and logs'!Y107</f>
        <v>44332</v>
      </c>
      <c r="U56" s="124">
        <f>'Schedule and logs'!Y108</f>
        <v>44349</v>
      </c>
      <c r="V56" s="124">
        <f t="shared" ref="V56:V75" si="23">AVERAGE(T56:U56)</f>
        <v>44340.5</v>
      </c>
      <c r="W56" s="143">
        <f t="shared" ref="W56:W75" si="24">H56+W55</f>
        <v>34</v>
      </c>
      <c r="X56">
        <f>X55+H56</f>
        <v>17</v>
      </c>
      <c r="AB56">
        <f>AVERAGE('BSi data'!S88:S89)</f>
        <v>3.2661448229375596</v>
      </c>
      <c r="AC56">
        <f>AVERAGE('BSi data'!T88:T89)</f>
        <v>6.9869221221188313</v>
      </c>
      <c r="AF56">
        <f>'PIC data'!AF51</f>
        <v>71.340135500677476</v>
      </c>
      <c r="AG56">
        <f t="shared" ref="AG56:AG75" si="25">AF56*12.01/100.0869</f>
        <v>8.5605111894077695</v>
      </c>
      <c r="AH56">
        <f t="shared" ref="AH56:AH75" si="26">M56-AG56</f>
        <v>4.9231838408046329</v>
      </c>
      <c r="AI56" s="100">
        <f t="shared" ref="AI56:AI75" si="27">AF56+(AC56*1.11)+(AH56*2.2)+3.7</f>
        <v>93.626623505999575</v>
      </c>
      <c r="AJ56" s="100"/>
      <c r="AK56" s="100">
        <f t="shared" ref="AK56:AK75" si="28">(AH56/12.01)/(O56/14.01)</f>
        <v>8.2789834599297567</v>
      </c>
    </row>
    <row r="57" spans="1:37">
      <c r="A57">
        <f>'sample processing comments'!A56</f>
        <v>2021</v>
      </c>
      <c r="B57" t="str">
        <f>'sample processing comments'!B56</f>
        <v>47_3800</v>
      </c>
      <c r="C57">
        <f>'sample processing comments'!C56</f>
        <v>3</v>
      </c>
      <c r="D57">
        <f>'sample processing comments'!D56</f>
        <v>4</v>
      </c>
      <c r="E57">
        <f>'mass filt'!V58</f>
        <v>412.74285714285719</v>
      </c>
      <c r="F57">
        <v>0.5</v>
      </c>
      <c r="G57" t="str">
        <f>'sample processing comments'!H56</f>
        <v xml:space="preserve">IN2022_V03 12/5/22 carboy 3 01:26 -46.762, 141.651 </v>
      </c>
      <c r="H57" s="143">
        <f t="shared" si="20"/>
        <v>17</v>
      </c>
      <c r="I57">
        <f t="shared" si="21"/>
        <v>48.557983193277316</v>
      </c>
      <c r="J57">
        <f t="shared" si="22"/>
        <v>17.735803361344541</v>
      </c>
      <c r="L57">
        <v>1</v>
      </c>
      <c r="M57" s="100">
        <f>'CHN raw data'!D60</f>
        <v>14.58903980255127</v>
      </c>
      <c r="N57" s="100">
        <f>'CHN raw data'!E60</f>
        <v>0.98879742622375488</v>
      </c>
      <c r="O57" s="100">
        <f>'CHN raw data'!F60</f>
        <v>0.94144737720489502</v>
      </c>
      <c r="Q57" t="s">
        <v>2349</v>
      </c>
      <c r="R57">
        <f>AVERAGE(pH_Sal!D47,pH_Sal!G47)</f>
        <v>37.515000000000001</v>
      </c>
      <c r="S57">
        <f>AVERAGE(pH_Sal!K47,pH_Sal!N47)</f>
        <v>8.57</v>
      </c>
      <c r="T57" s="124">
        <f>'Schedule and logs'!Y108</f>
        <v>44349</v>
      </c>
      <c r="U57" s="124">
        <f>'Schedule and logs'!Y109</f>
        <v>44366</v>
      </c>
      <c r="V57" s="124">
        <f t="shared" si="23"/>
        <v>44357.5</v>
      </c>
      <c r="W57" s="143">
        <f t="shared" si="24"/>
        <v>51</v>
      </c>
      <c r="X57">
        <f t="shared" ref="X57:X74" si="29">X56+H57</f>
        <v>34</v>
      </c>
      <c r="AB57">
        <f>'BSi data'!S90</f>
        <v>3.0392570177253599</v>
      </c>
      <c r="AC57">
        <f>'BSi data'!T90</f>
        <v>6.5015647630871083</v>
      </c>
      <c r="AF57">
        <f>'PIC data'!AF52</f>
        <v>69.647737721463599</v>
      </c>
      <c r="AG57">
        <f t="shared" si="25"/>
        <v>8.3574306930754965</v>
      </c>
      <c r="AH57">
        <f t="shared" si="26"/>
        <v>6.2316091094757731</v>
      </c>
      <c r="AI57" s="100">
        <f t="shared" si="27"/>
        <v>94.274014649337005</v>
      </c>
      <c r="AJ57" s="100"/>
      <c r="AK57" s="100">
        <f t="shared" si="28"/>
        <v>7.7214574315234978</v>
      </c>
    </row>
    <row r="58" spans="1:37">
      <c r="A58">
        <f>'sample processing comments'!A57</f>
        <v>2021</v>
      </c>
      <c r="B58" t="str">
        <f>'sample processing comments'!B57</f>
        <v>47_3800</v>
      </c>
      <c r="C58">
        <f>'sample processing comments'!C57</f>
        <v>4</v>
      </c>
      <c r="D58">
        <f>'sample processing comments'!D57</f>
        <v>3</v>
      </c>
      <c r="E58">
        <f>'mass filt'!V59</f>
        <v>529.04285714285709</v>
      </c>
      <c r="F58">
        <v>0.5</v>
      </c>
      <c r="G58" t="str">
        <f>'sample processing comments'!H57</f>
        <v xml:space="preserve">IN2022_V03 12/5/22 carboy 3 01:26 -46.762, 141.651 </v>
      </c>
      <c r="H58" s="143">
        <f t="shared" si="20"/>
        <v>17</v>
      </c>
      <c r="I58">
        <f t="shared" si="21"/>
        <v>62.240336134453777</v>
      </c>
      <c r="J58">
        <f t="shared" si="22"/>
        <v>22.733282773109242</v>
      </c>
      <c r="L58">
        <v>1</v>
      </c>
      <c r="M58" s="100">
        <f>'CHN raw data'!D61</f>
        <v>13.097996711730957</v>
      </c>
      <c r="N58" s="100">
        <f>'CHN raw data'!E61</f>
        <v>0.72383099794387817</v>
      </c>
      <c r="O58" s="100">
        <f>'CHN raw data'!F61</f>
        <v>0.58873683214187622</v>
      </c>
      <c r="R58">
        <f>pH_Sal!D48</f>
        <v>38.26</v>
      </c>
      <c r="S58">
        <f>pH_Sal!K48</f>
        <v>8.58</v>
      </c>
      <c r="T58" s="124">
        <f>'Schedule and logs'!Y109</f>
        <v>44366</v>
      </c>
      <c r="U58" s="124">
        <f>'Schedule and logs'!Y110</f>
        <v>44383</v>
      </c>
      <c r="V58" s="124">
        <f t="shared" si="23"/>
        <v>44374.5</v>
      </c>
      <c r="W58" s="143">
        <f t="shared" si="24"/>
        <v>68</v>
      </c>
      <c r="X58">
        <f t="shared" si="29"/>
        <v>51</v>
      </c>
      <c r="AB58">
        <f>'BSi data'!S91</f>
        <v>3.2336309523809526</v>
      </c>
      <c r="AC58">
        <f>'BSi data'!T91</f>
        <v>6.9173685983827502</v>
      </c>
      <c r="AF58">
        <f>'PIC data'!AF53</f>
        <v>73.824145539924771</v>
      </c>
      <c r="AG58">
        <f t="shared" si="25"/>
        <v>8.8585817717852837</v>
      </c>
      <c r="AH58">
        <f t="shared" si="26"/>
        <v>4.2394149399456733</v>
      </c>
      <c r="AI58" s="100">
        <f t="shared" si="27"/>
        <v>94.529137552010113</v>
      </c>
      <c r="AJ58" s="100"/>
      <c r="AK58" s="100">
        <f t="shared" si="28"/>
        <v>8.4000108524642947</v>
      </c>
    </row>
    <row r="59" spans="1:37">
      <c r="A59">
        <f>'sample processing comments'!A58</f>
        <v>2021</v>
      </c>
      <c r="B59" t="str">
        <f>'sample processing comments'!B58</f>
        <v>47_3800</v>
      </c>
      <c r="C59">
        <f>'sample processing comments'!C58</f>
        <v>5</v>
      </c>
      <c r="D59">
        <f>'sample processing comments'!D58</f>
        <v>3</v>
      </c>
      <c r="E59">
        <f>'mass filt'!V60</f>
        <v>366.42857142857144</v>
      </c>
      <c r="F59">
        <v>0.5</v>
      </c>
      <c r="G59" t="str">
        <f>'sample processing comments'!H58</f>
        <v xml:space="preserve">IN2022_V03 12/5/22 carboy 3 01:26 -46.762, 141.651 </v>
      </c>
      <c r="H59" s="143">
        <f t="shared" si="20"/>
        <v>17</v>
      </c>
      <c r="I59">
        <f t="shared" si="21"/>
        <v>43.109243697478995</v>
      </c>
      <c r="J59">
        <f t="shared" si="22"/>
        <v>15.745651260504204</v>
      </c>
      <c r="L59">
        <v>1</v>
      </c>
      <c r="M59" s="100">
        <f>'CHN raw data'!D62</f>
        <v>14.397756576538086</v>
      </c>
      <c r="N59" s="100">
        <f>'CHN raw data'!E62</f>
        <v>0.92513555288314819</v>
      </c>
      <c r="O59" s="100">
        <f>'CHN raw data'!F62</f>
        <v>0.95175492763519287</v>
      </c>
      <c r="R59">
        <f>pH_Sal!D49</f>
        <v>39.78</v>
      </c>
      <c r="S59">
        <f>pH_Sal!K49</f>
        <v>8.58</v>
      </c>
      <c r="T59" s="124">
        <f>'Schedule and logs'!Y110</f>
        <v>44383</v>
      </c>
      <c r="U59" s="124">
        <f>'Schedule and logs'!Y111</f>
        <v>44400</v>
      </c>
      <c r="V59" s="124">
        <f t="shared" si="23"/>
        <v>44391.5</v>
      </c>
      <c r="W59" s="143">
        <f t="shared" si="24"/>
        <v>85</v>
      </c>
      <c r="X59">
        <f t="shared" si="29"/>
        <v>68</v>
      </c>
      <c r="AB59">
        <f>'BSi data'!S92</f>
        <v>3.177578767992459</v>
      </c>
      <c r="AC59">
        <f>'BSi data'!T92</f>
        <v>6.7974620209564556</v>
      </c>
      <c r="AF59">
        <f>'PIC data'!AF54</f>
        <v>69.217122599232454</v>
      </c>
      <c r="AG59">
        <f t="shared" si="25"/>
        <v>8.3057587198402754</v>
      </c>
      <c r="AH59">
        <f t="shared" si="26"/>
        <v>6.0919978566978106</v>
      </c>
      <c r="AI59" s="100">
        <f t="shared" si="27"/>
        <v>93.864700727229305</v>
      </c>
      <c r="AJ59" s="100"/>
      <c r="AK59" s="100">
        <f t="shared" si="28"/>
        <v>7.4667177654265329</v>
      </c>
    </row>
    <row r="60" spans="1:37">
      <c r="A60">
        <f>'sample processing comments'!A59</f>
        <v>2021</v>
      </c>
      <c r="B60" t="str">
        <f>'sample processing comments'!B59</f>
        <v>47_3800</v>
      </c>
      <c r="C60">
        <f>'sample processing comments'!C59</f>
        <v>6</v>
      </c>
      <c r="D60">
        <f>'sample processing comments'!D59</f>
        <v>3</v>
      </c>
      <c r="E60">
        <f>'mass filt'!V61</f>
        <v>314</v>
      </c>
      <c r="F60">
        <v>0.5</v>
      </c>
      <c r="G60" t="str">
        <f>'sample processing comments'!H59</f>
        <v xml:space="preserve">IN2022_V03 12/5/22 carboy 3 01:26 -46.762, 141.651 </v>
      </c>
      <c r="H60" s="143">
        <f t="shared" si="20"/>
        <v>17</v>
      </c>
      <c r="I60">
        <f t="shared" si="21"/>
        <v>36.941176470588232</v>
      </c>
      <c r="J60">
        <f t="shared" si="22"/>
        <v>13.492764705882353</v>
      </c>
      <c r="L60">
        <v>1</v>
      </c>
      <c r="M60" s="100">
        <f>'CHN raw data'!D63</f>
        <v>14.951759338378906</v>
      </c>
      <c r="N60" s="100">
        <f>'CHN raw data'!E63</f>
        <v>1.0374045372009277</v>
      </c>
      <c r="O60" s="100">
        <f>'CHN raw data'!F63</f>
        <v>1.0744222402572632</v>
      </c>
      <c r="R60">
        <f>pH_Sal!D50</f>
        <v>40.119999999999997</v>
      </c>
      <c r="S60">
        <f>pH_Sal!K50</f>
        <v>8.58</v>
      </c>
      <c r="T60" s="124">
        <f>'Schedule and logs'!Y111</f>
        <v>44400</v>
      </c>
      <c r="U60" s="124">
        <f>'Schedule and logs'!Y112</f>
        <v>44417</v>
      </c>
      <c r="V60" s="124">
        <f t="shared" si="23"/>
        <v>44408.5</v>
      </c>
      <c r="W60" s="143">
        <f t="shared" si="24"/>
        <v>102</v>
      </c>
      <c r="X60">
        <f t="shared" si="29"/>
        <v>85</v>
      </c>
      <c r="AB60">
        <f>'BSi data'!S93</f>
        <v>3.2224790756914126</v>
      </c>
      <c r="AC60">
        <f>'BSi data'!T93</f>
        <v>6.8935125545851541</v>
      </c>
      <c r="AF60">
        <f>'PIC data'!AF55</f>
        <v>67.520281342064521</v>
      </c>
      <c r="AG60">
        <f t="shared" si="25"/>
        <v>8.1021450251550888</v>
      </c>
      <c r="AH60">
        <f t="shared" si="26"/>
        <v>6.8496143132238174</v>
      </c>
      <c r="AI60" s="100">
        <f t="shared" si="27"/>
        <v>93.941231766746455</v>
      </c>
      <c r="AJ60" s="100"/>
      <c r="AK60" s="100">
        <f t="shared" si="28"/>
        <v>7.4368026425495062</v>
      </c>
    </row>
    <row r="61" spans="1:37">
      <c r="A61">
        <f>'sample processing comments'!A60</f>
        <v>2021</v>
      </c>
      <c r="B61" t="str">
        <f>'sample processing comments'!B60</f>
        <v>47_3800</v>
      </c>
      <c r="C61">
        <f>'sample processing comments'!C60</f>
        <v>7</v>
      </c>
      <c r="D61">
        <f>'sample processing comments'!D60</f>
        <v>2</v>
      </c>
      <c r="E61">
        <f>'mass filt'!V62</f>
        <v>357</v>
      </c>
      <c r="F61">
        <v>0.5</v>
      </c>
      <c r="G61" t="str">
        <f>'sample processing comments'!H60</f>
        <v xml:space="preserve">IN2022_V03 12/5/22 carboy 3 01:26 -46.762, 141.651 </v>
      </c>
      <c r="H61" s="143">
        <f t="shared" si="20"/>
        <v>17</v>
      </c>
      <c r="I61">
        <f t="shared" si="21"/>
        <v>42</v>
      </c>
      <c r="J61">
        <f t="shared" si="22"/>
        <v>15.3405</v>
      </c>
      <c r="L61">
        <v>1</v>
      </c>
      <c r="M61" s="100">
        <f>'CHN raw data'!D64</f>
        <v>13.824623107910156</v>
      </c>
      <c r="N61" s="100">
        <f>'CHN raw data'!E64</f>
        <v>0.83683067560195923</v>
      </c>
      <c r="O61" s="100">
        <f>'CHN raw data'!F64</f>
        <v>0.85265332460403442</v>
      </c>
      <c r="R61">
        <f>pH_Sal!D51</f>
        <v>39.94</v>
      </c>
      <c r="S61">
        <f>pH_Sal!K51</f>
        <v>8.6</v>
      </c>
      <c r="T61" s="124">
        <f>'Schedule and logs'!Y112</f>
        <v>44417</v>
      </c>
      <c r="U61" s="124">
        <f>'Schedule and logs'!Y113</f>
        <v>44434</v>
      </c>
      <c r="V61" s="124">
        <f t="shared" si="23"/>
        <v>44425.5</v>
      </c>
      <c r="W61" s="143">
        <f t="shared" si="24"/>
        <v>119</v>
      </c>
      <c r="X61">
        <f t="shared" si="29"/>
        <v>102</v>
      </c>
      <c r="AB61">
        <f>'BSi data'!S94</f>
        <v>3.5328432052526941</v>
      </c>
      <c r="AC61">
        <f>'BSi data'!T94</f>
        <v>7.5574420862810392</v>
      </c>
      <c r="AF61">
        <f>'PIC data'!AF56</f>
        <v>70.017770472842912</v>
      </c>
      <c r="AG61">
        <f t="shared" si="25"/>
        <v>8.4018330408759123</v>
      </c>
      <c r="AH61">
        <f t="shared" si="26"/>
        <v>5.4227900670342439</v>
      </c>
      <c r="AI61" s="100">
        <f t="shared" si="27"/>
        <v>94.036669336090199</v>
      </c>
      <c r="AJ61" s="100"/>
      <c r="AK61" s="100">
        <f t="shared" si="28"/>
        <v>7.4190010064238887</v>
      </c>
    </row>
    <row r="62" spans="1:37">
      <c r="A62">
        <f>'sample processing comments'!A61</f>
        <v>2021</v>
      </c>
      <c r="B62" t="str">
        <f>'sample processing comments'!B61</f>
        <v>47_3800</v>
      </c>
      <c r="C62">
        <f>'sample processing comments'!C61</f>
        <v>8</v>
      </c>
      <c r="D62">
        <f>'sample processing comments'!D61</f>
        <v>2</v>
      </c>
      <c r="E62">
        <f>'mass filt'!V63</f>
        <v>263.52857142857141</v>
      </c>
      <c r="F62">
        <v>0.5</v>
      </c>
      <c r="G62" t="str">
        <f>'sample processing comments'!H61</f>
        <v xml:space="preserve">IN2022_V03 12/5/22 carboy 3 01:26 -46.762, 141.651 </v>
      </c>
      <c r="H62" s="143">
        <f t="shared" si="20"/>
        <v>17</v>
      </c>
      <c r="I62">
        <f t="shared" si="21"/>
        <v>31.003361344537812</v>
      </c>
      <c r="J62">
        <f t="shared" si="22"/>
        <v>11.323977731092436</v>
      </c>
      <c r="L62">
        <v>1</v>
      </c>
      <c r="M62" s="100">
        <f>'CHN raw data'!D65</f>
        <v>13.053657531738281</v>
      </c>
      <c r="N62" s="100">
        <f>'CHN raw data'!E65</f>
        <v>0.70937174558639526</v>
      </c>
      <c r="O62" s="100">
        <f>'CHN raw data'!F65</f>
        <v>0.63178735971450806</v>
      </c>
      <c r="R62">
        <f>pH_Sal!D52</f>
        <v>39.96</v>
      </c>
      <c r="S62">
        <f>pH_Sal!K52</f>
        <v>8.64</v>
      </c>
      <c r="T62" s="124">
        <f>'Schedule and logs'!Y113</f>
        <v>44434</v>
      </c>
      <c r="U62" s="124">
        <f>'Schedule and logs'!Y114</f>
        <v>44451</v>
      </c>
      <c r="V62" s="124">
        <f t="shared" si="23"/>
        <v>44442.5</v>
      </c>
      <c r="W62" s="143">
        <f t="shared" si="24"/>
        <v>136</v>
      </c>
      <c r="X62">
        <f t="shared" si="29"/>
        <v>119</v>
      </c>
      <c r="AB62">
        <f>'BSi data'!S98</f>
        <v>3.752734967394602</v>
      </c>
      <c r="AC62">
        <f>'BSi data'!T98</f>
        <v>8.0278335418562339</v>
      </c>
      <c r="AF62">
        <f>'PIC data'!AF57</f>
        <v>71.848509565839606</v>
      </c>
      <c r="AG62">
        <f t="shared" si="25"/>
        <v>8.6215139032753907</v>
      </c>
      <c r="AH62">
        <f t="shared" si="26"/>
        <v>4.4321436284628906</v>
      </c>
      <c r="AI62" s="100">
        <f t="shared" si="27"/>
        <v>94.210120779918384</v>
      </c>
      <c r="AJ62" s="100"/>
      <c r="AK62" s="100">
        <f t="shared" si="28"/>
        <v>8.1834799173435968</v>
      </c>
    </row>
    <row r="63" spans="1:37">
      <c r="A63">
        <f>'sample processing comments'!A62</f>
        <v>2021</v>
      </c>
      <c r="B63" t="str">
        <f>'sample processing comments'!B62</f>
        <v>47_3800</v>
      </c>
      <c r="C63">
        <f>'sample processing comments'!C62</f>
        <v>9</v>
      </c>
      <c r="D63">
        <f>'sample processing comments'!D62</f>
        <v>2</v>
      </c>
      <c r="E63">
        <f>'mass filt'!V64</f>
        <v>328.78571428571428</v>
      </c>
      <c r="F63">
        <v>0.5</v>
      </c>
      <c r="G63" t="str">
        <f>'sample processing comments'!H62</f>
        <v xml:space="preserve">IN2022_V03 12/5/22 carboy 3 01:26 -46.762, 141.651 </v>
      </c>
      <c r="H63" s="143">
        <f t="shared" si="20"/>
        <v>17</v>
      </c>
      <c r="I63">
        <f t="shared" si="21"/>
        <v>38.680672268907564</v>
      </c>
      <c r="J63">
        <f t="shared" si="22"/>
        <v>14.128115546218488</v>
      </c>
      <c r="L63">
        <v>1</v>
      </c>
      <c r="M63" s="100">
        <f>'CHN raw data'!D66</f>
        <v>12.87428092956543</v>
      </c>
      <c r="N63" s="100">
        <f>'CHN raw data'!E66</f>
        <v>0.69423598051071167</v>
      </c>
      <c r="O63" s="100">
        <f>'CHN raw data'!F66</f>
        <v>0.57795721292495728</v>
      </c>
      <c r="R63">
        <f>pH_Sal!D53</f>
        <v>37.89</v>
      </c>
      <c r="S63">
        <f>pH_Sal!K53</f>
        <v>8.6199999999999992</v>
      </c>
      <c r="T63" s="124">
        <f>'Schedule and logs'!Y114</f>
        <v>44451</v>
      </c>
      <c r="U63" s="124">
        <f>'Schedule and logs'!Y115</f>
        <v>44468</v>
      </c>
      <c r="V63" s="124">
        <f t="shared" si="23"/>
        <v>44459.5</v>
      </c>
      <c r="W63" s="143">
        <f t="shared" si="24"/>
        <v>153</v>
      </c>
      <c r="X63">
        <f t="shared" si="29"/>
        <v>136</v>
      </c>
      <c r="AB63">
        <f>'BSi data'!S99</f>
        <v>3.8853255275347403</v>
      </c>
      <c r="AC63">
        <f>'BSi data'!T99</f>
        <v>8.3114706639217708</v>
      </c>
      <c r="AF63">
        <f>'PIC data'!AF58</f>
        <v>72.769164706681337</v>
      </c>
      <c r="AG63">
        <f t="shared" si="25"/>
        <v>8.7319885831936332</v>
      </c>
      <c r="AH63">
        <f t="shared" si="26"/>
        <v>4.1422923463717964</v>
      </c>
      <c r="AI63" s="100">
        <f t="shared" si="27"/>
        <v>94.807940305652451</v>
      </c>
      <c r="AJ63" s="100"/>
      <c r="AK63" s="100">
        <f t="shared" si="28"/>
        <v>8.3606527554128558</v>
      </c>
    </row>
    <row r="64" spans="1:37">
      <c r="A64">
        <f>'sample processing comments'!A63</f>
        <v>2021</v>
      </c>
      <c r="B64" t="str">
        <f>'sample processing comments'!B63</f>
        <v>47_3800</v>
      </c>
      <c r="C64">
        <f>'sample processing comments'!C63</f>
        <v>10</v>
      </c>
      <c r="D64">
        <f>'sample processing comments'!D63</f>
        <v>2</v>
      </c>
      <c r="E64">
        <f>'mass filt'!V65</f>
        <v>453.81428571428569</v>
      </c>
      <c r="F64">
        <v>0.5</v>
      </c>
      <c r="G64" t="str">
        <f>'sample processing comments'!H63</f>
        <v xml:space="preserve">IN2022_V03 12/5/22 carboy 3 01:26 -46.762, 141.651 </v>
      </c>
      <c r="H64" s="143">
        <f t="shared" si="20"/>
        <v>17</v>
      </c>
      <c r="I64">
        <f t="shared" si="21"/>
        <v>53.389915966386553</v>
      </c>
      <c r="J64">
        <f t="shared" si="22"/>
        <v>19.500666806722691</v>
      </c>
      <c r="L64">
        <v>1</v>
      </c>
      <c r="M64" s="100">
        <f>'CHN raw data'!D69</f>
        <v>12.646454811096191</v>
      </c>
      <c r="N64" s="100">
        <f>'CHN raw data'!E69</f>
        <v>0.65757787227630615</v>
      </c>
      <c r="O64" s="100">
        <f>'CHN raw data'!F69</f>
        <v>0.54261618852615356</v>
      </c>
      <c r="R64">
        <f>pH_Sal!D54</f>
        <v>39.51</v>
      </c>
      <c r="S64">
        <f>pH_Sal!K54</f>
        <v>8.6300000000000008</v>
      </c>
      <c r="T64" s="124">
        <f>'Schedule and logs'!Y115</f>
        <v>44468</v>
      </c>
      <c r="U64" s="124">
        <f>'Schedule and logs'!Y116</f>
        <v>44485</v>
      </c>
      <c r="V64" s="124">
        <f t="shared" si="23"/>
        <v>44476.5</v>
      </c>
      <c r="W64" s="143">
        <f t="shared" si="24"/>
        <v>170</v>
      </c>
      <c r="X64">
        <f t="shared" si="29"/>
        <v>153</v>
      </c>
      <c r="AB64">
        <f>'BSi data'!S100</f>
        <v>4.0700171928449258</v>
      </c>
      <c r="AC64">
        <f>'BSi data'!T100</f>
        <v>8.706562232753706</v>
      </c>
      <c r="AF64">
        <f>'PIC data'!AF59</f>
        <v>73.018737628937203</v>
      </c>
      <c r="AG64">
        <f t="shared" si="25"/>
        <v>8.7619362666196654</v>
      </c>
      <c r="AH64">
        <f t="shared" si="26"/>
        <v>3.884518544476526</v>
      </c>
      <c r="AI64" s="100">
        <f t="shared" si="27"/>
        <v>94.928962505142181</v>
      </c>
      <c r="AJ64" s="100"/>
      <c r="AK64" s="100">
        <f t="shared" si="28"/>
        <v>8.351021090903302</v>
      </c>
    </row>
    <row r="65" spans="1:37">
      <c r="A65">
        <f>'sample processing comments'!A64</f>
        <v>2021</v>
      </c>
      <c r="B65" t="str">
        <f>'sample processing comments'!B64</f>
        <v>47_3800</v>
      </c>
      <c r="C65">
        <f>'sample processing comments'!C64</f>
        <v>11</v>
      </c>
      <c r="D65">
        <f>'sample processing comments'!D64</f>
        <v>3</v>
      </c>
      <c r="E65">
        <f>'mass filt'!V66</f>
        <v>555.02857142857135</v>
      </c>
      <c r="F65">
        <v>0.5</v>
      </c>
      <c r="G65" t="str">
        <f>'sample processing comments'!H64</f>
        <v xml:space="preserve">IN2022_V03 12/5/22 carboy 3 01:26 -46.762, 141.651 </v>
      </c>
      <c r="H65" s="143">
        <f t="shared" si="20"/>
        <v>17</v>
      </c>
      <c r="I65">
        <f t="shared" si="21"/>
        <v>65.297478991596634</v>
      </c>
      <c r="J65">
        <f t="shared" si="22"/>
        <v>23.849904201680673</v>
      </c>
      <c r="L65">
        <v>1</v>
      </c>
      <c r="M65" s="100">
        <f>AVERAGE('CHN raw data'!D70,'CHN raw data'!D82)</f>
        <v>13.484996795654297</v>
      </c>
      <c r="N65" s="100">
        <f>AVERAGE('CHN raw data'!E70,'CHN raw data'!E82)</f>
        <v>0.7854105532169342</v>
      </c>
      <c r="O65" s="100">
        <f>AVERAGE('CHN raw data'!F70,'CHN raw data'!F82)</f>
        <v>0.6728757917881012</v>
      </c>
      <c r="R65">
        <f>pH_Sal!D55</f>
        <v>39.549999999999997</v>
      </c>
      <c r="S65">
        <f>pH_Sal!K55</f>
        <v>8.6</v>
      </c>
      <c r="T65" s="124">
        <f>'Schedule and logs'!Y116</f>
        <v>44485</v>
      </c>
      <c r="U65" s="124">
        <f>'Schedule and logs'!Y117</f>
        <v>44502</v>
      </c>
      <c r="V65" s="124">
        <f t="shared" si="23"/>
        <v>44493.5</v>
      </c>
      <c r="W65" s="143">
        <f t="shared" si="24"/>
        <v>187</v>
      </c>
      <c r="X65">
        <f t="shared" si="29"/>
        <v>170</v>
      </c>
      <c r="AB65">
        <f>AVERAGE('BSi data'!S101:S102)</f>
        <v>3.9204810202317377</v>
      </c>
      <c r="AC65">
        <f>AVERAGE('BSi data'!T101:T102)</f>
        <v>8.3866751337032799</v>
      </c>
      <c r="AF65">
        <f>'PIC data'!AF60</f>
        <v>72.319518179165954</v>
      </c>
      <c r="AG65">
        <f t="shared" si="25"/>
        <v>8.6780329227079971</v>
      </c>
      <c r="AH65">
        <f t="shared" si="26"/>
        <v>4.8069638729462998</v>
      </c>
      <c r="AI65" s="100">
        <f t="shared" si="27"/>
        <v>95.904048098058453</v>
      </c>
      <c r="AJ65" s="100"/>
      <c r="AK65" s="100">
        <f t="shared" si="28"/>
        <v>8.3335698934318199</v>
      </c>
    </row>
    <row r="66" spans="1:37">
      <c r="A66">
        <f>'sample processing comments'!A65</f>
        <v>2021</v>
      </c>
      <c r="B66" t="str">
        <f>'sample processing comments'!B65</f>
        <v>47_3800</v>
      </c>
      <c r="C66">
        <f>'sample processing comments'!C65</f>
        <v>12</v>
      </c>
      <c r="D66">
        <f>'sample processing comments'!D65</f>
        <v>5</v>
      </c>
      <c r="E66">
        <f>'mass filt'!V67</f>
        <v>728.32857142857154</v>
      </c>
      <c r="F66">
        <v>0.5</v>
      </c>
      <c r="G66" t="str">
        <f>'sample processing comments'!H65</f>
        <v>IN2022_V03 12/5/22 carboy 3 01:26 -46.762, 141.651  + IN2022_V03 carboy 5, 12/5/22 02:15 -46.737, 141.647</v>
      </c>
      <c r="H66" s="143">
        <f t="shared" si="20"/>
        <v>17</v>
      </c>
      <c r="I66">
        <f t="shared" si="21"/>
        <v>85.685714285714297</v>
      </c>
      <c r="J66">
        <f t="shared" si="22"/>
        <v>31.296707142857151</v>
      </c>
      <c r="L66">
        <v>1</v>
      </c>
      <c r="M66" s="100">
        <f>'CHN raw data'!D71</f>
        <v>13.870151519775391</v>
      </c>
      <c r="N66" s="100">
        <f>'CHN raw data'!E71</f>
        <v>0.82141661643981934</v>
      </c>
      <c r="O66" s="100">
        <f>'CHN raw data'!F71</f>
        <v>0.6909220814704895</v>
      </c>
      <c r="Q66" t="s">
        <v>2349</v>
      </c>
      <c r="R66">
        <f>AVERAGE(pH_Sal!D56,pH_Sal!G56)</f>
        <v>38.19</v>
      </c>
      <c r="S66">
        <f>AVERAGE(pH_Sal!K56,pH_Sal!N56)</f>
        <v>8.5500000000000007</v>
      </c>
      <c r="T66" s="124">
        <f>'Schedule and logs'!Y117</f>
        <v>44502</v>
      </c>
      <c r="U66" s="124">
        <f>'Schedule and logs'!Y118</f>
        <v>44519</v>
      </c>
      <c r="V66" s="124">
        <f t="shared" si="23"/>
        <v>44510.5</v>
      </c>
      <c r="W66" s="143">
        <f t="shared" si="24"/>
        <v>204</v>
      </c>
      <c r="X66">
        <f t="shared" si="29"/>
        <v>187</v>
      </c>
      <c r="AB66">
        <f>'BSi data'!S103</f>
        <v>3.6519043817454229</v>
      </c>
      <c r="AC66">
        <f>'BSi data'!T103</f>
        <v>7.8121372124984854</v>
      </c>
      <c r="AF66">
        <f>'PIC data'!AF61</f>
        <v>73.744515220353975</v>
      </c>
      <c r="AG66">
        <f t="shared" si="25"/>
        <v>8.8490264739586433</v>
      </c>
      <c r="AH66">
        <f t="shared" si="26"/>
        <v>5.0211250458167473</v>
      </c>
      <c r="AI66" s="100">
        <f t="shared" si="27"/>
        <v>97.162462627024141</v>
      </c>
      <c r="AJ66" s="100"/>
      <c r="AK66" s="100">
        <f t="shared" si="28"/>
        <v>8.4774862164482343</v>
      </c>
    </row>
    <row r="67" spans="1:37">
      <c r="A67">
        <f>'sample processing comments'!A66</f>
        <v>2021</v>
      </c>
      <c r="B67" t="str">
        <f>'sample processing comments'!B66</f>
        <v>47_3800</v>
      </c>
      <c r="C67">
        <f>'sample processing comments'!C66</f>
        <v>13</v>
      </c>
      <c r="D67">
        <f>'sample processing comments'!D66</f>
        <v>4</v>
      </c>
      <c r="E67">
        <f>'mass filt'!V68</f>
        <v>695.18571428571431</v>
      </c>
      <c r="F67">
        <v>0.5</v>
      </c>
      <c r="G67" t="str">
        <f>'sample processing comments'!H66</f>
        <v>IN2022_V03 carboy 5, 12/5/22 02:15 -46.737, 141.647</v>
      </c>
      <c r="H67" s="143">
        <f t="shared" si="20"/>
        <v>17</v>
      </c>
      <c r="I67">
        <f t="shared" si="21"/>
        <v>81.786554621848737</v>
      </c>
      <c r="J67">
        <f t="shared" si="22"/>
        <v>29.872539075630254</v>
      </c>
      <c r="L67">
        <v>1</v>
      </c>
      <c r="M67" s="100">
        <f>'CHN raw data'!D72</f>
        <v>13.592611312866211</v>
      </c>
      <c r="N67" s="100">
        <f>'CHN raw data'!E72</f>
        <v>0.77029335498809814</v>
      </c>
      <c r="O67" s="100">
        <f>'CHN raw data'!F72</f>
        <v>0.69899576902389526</v>
      </c>
      <c r="R67">
        <f>pH_Sal!D57</f>
        <v>39.89</v>
      </c>
      <c r="S67">
        <f>pH_Sal!K57</f>
        <v>8.57</v>
      </c>
      <c r="T67" s="124">
        <f>'Schedule and logs'!Y118</f>
        <v>44519</v>
      </c>
      <c r="U67" s="124">
        <f>'Schedule and logs'!Y119</f>
        <v>44536</v>
      </c>
      <c r="V67" s="124">
        <f t="shared" si="23"/>
        <v>44527.5</v>
      </c>
      <c r="W67" s="143">
        <f t="shared" si="24"/>
        <v>221</v>
      </c>
      <c r="X67">
        <f t="shared" si="29"/>
        <v>204</v>
      </c>
      <c r="AB67">
        <f>'BSi data'!S104</f>
        <v>4.1673051467288884</v>
      </c>
      <c r="AC67">
        <f>'BSi data'!T104</f>
        <v>8.9146801803823035</v>
      </c>
      <c r="AF67">
        <f>'PIC data'!AF62</f>
        <v>71.72150652687445</v>
      </c>
      <c r="AG67">
        <f t="shared" si="25"/>
        <v>8.606274081700624</v>
      </c>
      <c r="AH67">
        <f t="shared" si="26"/>
        <v>4.9863372311655869</v>
      </c>
      <c r="AI67" s="100">
        <f t="shared" si="27"/>
        <v>96.286743435663098</v>
      </c>
      <c r="AJ67" s="100"/>
      <c r="AK67" s="100">
        <f t="shared" si="28"/>
        <v>8.3215116942505762</v>
      </c>
    </row>
    <row r="68" spans="1:37">
      <c r="A68">
        <f>'sample processing comments'!A67</f>
        <v>2021</v>
      </c>
      <c r="B68" t="str">
        <f>'sample processing comments'!B67</f>
        <v>47_3800</v>
      </c>
      <c r="C68">
        <f>'sample processing comments'!C67</f>
        <v>14</v>
      </c>
      <c r="D68">
        <f>'sample processing comments'!D67</f>
        <v>3</v>
      </c>
      <c r="E68">
        <f>'mass filt'!V69</f>
        <v>667.09999999999991</v>
      </c>
      <c r="F68">
        <v>0.5</v>
      </c>
      <c r="G68" t="str">
        <f>'sample processing comments'!H67</f>
        <v>IN2022_V03 carboy 5, 12/5/22 02:15 -46.737, 141.647</v>
      </c>
      <c r="H68" s="143">
        <f t="shared" si="20"/>
        <v>17</v>
      </c>
      <c r="I68">
        <f t="shared" si="21"/>
        <v>78.482352941176458</v>
      </c>
      <c r="J68">
        <f t="shared" si="22"/>
        <v>28.665679411764703</v>
      </c>
      <c r="L68">
        <v>1</v>
      </c>
      <c r="M68" s="100">
        <f>'CHN raw data'!D73</f>
        <v>12.755533218383789</v>
      </c>
      <c r="N68" s="100">
        <f>'CHN raw data'!E73</f>
        <v>0.68749332427978516</v>
      </c>
      <c r="O68" s="100">
        <f>'CHN raw data'!F73</f>
        <v>0.57462620735168457</v>
      </c>
      <c r="R68">
        <f>pH_Sal!D58</f>
        <v>39.85</v>
      </c>
      <c r="S68">
        <f>pH_Sal!K58</f>
        <v>8.59</v>
      </c>
      <c r="T68" s="124">
        <f>'Schedule and logs'!Y119</f>
        <v>44536</v>
      </c>
      <c r="U68" s="124">
        <f>'Schedule and logs'!Y120</f>
        <v>44553</v>
      </c>
      <c r="V68" s="124">
        <f t="shared" si="23"/>
        <v>44544.5</v>
      </c>
      <c r="W68" s="143">
        <f t="shared" si="24"/>
        <v>238</v>
      </c>
      <c r="X68">
        <f t="shared" si="29"/>
        <v>221</v>
      </c>
      <c r="AB68">
        <f>AVERAGE('BSi data'!S105:S106)</f>
        <v>5.1718812625250496</v>
      </c>
      <c r="AC68">
        <f>AVERAGE('BSi data'!T105:T106)</f>
        <v>11.06366482965932</v>
      </c>
      <c r="AF68">
        <f>'PIC data'!AF63</f>
        <v>71.866061243464856</v>
      </c>
      <c r="AG68">
        <f t="shared" si="25"/>
        <v>8.6236200295344627</v>
      </c>
      <c r="AH68">
        <f t="shared" si="26"/>
        <v>4.1319131888493263</v>
      </c>
      <c r="AI68" s="100">
        <f t="shared" si="27"/>
        <v>96.936938219855222</v>
      </c>
      <c r="AJ68" s="100"/>
      <c r="AK68" s="100">
        <f t="shared" si="28"/>
        <v>8.3880476148238898</v>
      </c>
    </row>
    <row r="69" spans="1:37">
      <c r="A69">
        <f>'sample processing comments'!A68</f>
        <v>2021</v>
      </c>
      <c r="B69" t="str">
        <f>'sample processing comments'!B68</f>
        <v>47_3800</v>
      </c>
      <c r="C69">
        <f>'sample processing comments'!C68</f>
        <v>15</v>
      </c>
      <c r="D69">
        <f>'sample processing comments'!D68</f>
        <v>8</v>
      </c>
      <c r="E69">
        <f>'mass filt'!V70</f>
        <v>591.7285714285714</v>
      </c>
      <c r="F69">
        <v>0.5</v>
      </c>
      <c r="G69" t="str">
        <f>'sample processing comments'!H68</f>
        <v>IN2022_V03 carboy 5, 12/5/22 02:15 -46.737, 141.647</v>
      </c>
      <c r="H69" s="143">
        <f t="shared" si="20"/>
        <v>17</v>
      </c>
      <c r="I69">
        <f t="shared" si="21"/>
        <v>69.615126050420159</v>
      </c>
      <c r="J69">
        <f t="shared" si="22"/>
        <v>25.426924789915965</v>
      </c>
      <c r="L69">
        <v>1</v>
      </c>
      <c r="M69" s="100">
        <f>'CHN raw data'!D74</f>
        <v>12.204427719116211</v>
      </c>
      <c r="N69" s="100">
        <f>'CHN raw data'!E74</f>
        <v>0.73700457811355591</v>
      </c>
      <c r="O69" s="100">
        <f>'CHN raw data'!F74</f>
        <v>0.54127126932144165</v>
      </c>
      <c r="R69">
        <f>pH_Sal!D59</f>
        <v>37.5</v>
      </c>
      <c r="S69">
        <f>pH_Sal!K59</f>
        <v>8.56</v>
      </c>
      <c r="T69" s="124">
        <f>'Schedule and logs'!Y120</f>
        <v>44553</v>
      </c>
      <c r="U69" s="124">
        <f>'Schedule and logs'!Y121</f>
        <v>44570</v>
      </c>
      <c r="V69" s="124">
        <f t="shared" si="23"/>
        <v>44561.5</v>
      </c>
      <c r="W69" s="143">
        <f t="shared" si="24"/>
        <v>255</v>
      </c>
      <c r="X69">
        <f t="shared" si="29"/>
        <v>238</v>
      </c>
      <c r="AB69">
        <f>'BSi data'!S107</f>
        <v>6.6282997173113172</v>
      </c>
      <c r="AC69">
        <f>'BSi data'!T107</f>
        <v>14.179228551557033</v>
      </c>
      <c r="AF69">
        <f>'PIC data'!AF64</f>
        <v>69.301719304295517</v>
      </c>
      <c r="AG69">
        <f t="shared" si="25"/>
        <v>8.3159099626883144</v>
      </c>
      <c r="AH69">
        <f t="shared" si="26"/>
        <v>3.8885177564278965</v>
      </c>
      <c r="AI69" s="100">
        <f t="shared" si="27"/>
        <v>97.295402060665197</v>
      </c>
      <c r="AJ69" s="100"/>
      <c r="AK69" s="100">
        <f t="shared" si="28"/>
        <v>8.380390174093364</v>
      </c>
    </row>
    <row r="70" spans="1:37">
      <c r="A70">
        <f>'sample processing comments'!A69</f>
        <v>2021</v>
      </c>
      <c r="B70" t="str">
        <f>'sample processing comments'!B69</f>
        <v>47_3800</v>
      </c>
      <c r="C70">
        <f>'sample processing comments'!C69</f>
        <v>16</v>
      </c>
      <c r="D70">
        <f>'sample processing comments'!D69</f>
        <v>35</v>
      </c>
      <c r="E70">
        <f>'mass filt'!V71</f>
        <v>1266.7714285714285</v>
      </c>
      <c r="F70">
        <v>0.5</v>
      </c>
      <c r="G70" t="str">
        <f>'sample processing comments'!H69</f>
        <v>IN2022_V03 carboy 5, 12/5/22 02:15 -46.737, 141.647</v>
      </c>
      <c r="H70" s="143">
        <f t="shared" si="20"/>
        <v>17</v>
      </c>
      <c r="I70">
        <f t="shared" si="21"/>
        <v>149.03193277310925</v>
      </c>
      <c r="J70">
        <f t="shared" si="22"/>
        <v>54.433913445378153</v>
      </c>
      <c r="L70">
        <v>1</v>
      </c>
      <c r="M70" s="100">
        <f>AVERAGE('CHN raw data'!D77:D78)</f>
        <v>12.265636920928955</v>
      </c>
      <c r="N70" s="100">
        <f>AVERAGE('CHN raw data'!E77:E78)</f>
        <v>1.163726806640625</v>
      </c>
      <c r="O70" s="100">
        <f>AVERAGE('CHN raw data'!F77:F78)</f>
        <v>0.85873132944107056</v>
      </c>
      <c r="R70">
        <f>pH_Sal!D60</f>
        <v>39.39</v>
      </c>
      <c r="S70">
        <f>pH_Sal!K60</f>
        <v>8.51</v>
      </c>
      <c r="T70" s="124">
        <f>'Schedule and logs'!Y121</f>
        <v>44570</v>
      </c>
      <c r="U70" s="124">
        <f>'Schedule and logs'!Y122</f>
        <v>44587</v>
      </c>
      <c r="V70" s="124">
        <f t="shared" si="23"/>
        <v>44578.5</v>
      </c>
      <c r="W70" s="143">
        <f t="shared" si="24"/>
        <v>272</v>
      </c>
      <c r="X70">
        <f t="shared" si="29"/>
        <v>255</v>
      </c>
      <c r="AB70">
        <f>AVERAGE('BSi data'!S108:S109)</f>
        <v>12.103515193227285</v>
      </c>
      <c r="AC70">
        <f>AVERAGE('BSi data'!T108:T109)</f>
        <v>25.891784548274387</v>
      </c>
      <c r="AF70">
        <f>'PIC data'!AF65</f>
        <v>51.513612249116875</v>
      </c>
      <c r="AG70">
        <f t="shared" si="25"/>
        <v>6.1814131830628556</v>
      </c>
      <c r="AH70">
        <f t="shared" si="26"/>
        <v>6.0842237378660995</v>
      </c>
      <c r="AI70" s="100">
        <f t="shared" si="27"/>
        <v>97.338785321006881</v>
      </c>
      <c r="AJ70" s="100"/>
      <c r="AK70" s="100">
        <f t="shared" si="28"/>
        <v>8.2650026343647234</v>
      </c>
    </row>
    <row r="71" spans="1:37">
      <c r="A71">
        <f>'sample processing comments'!A70</f>
        <v>2021</v>
      </c>
      <c r="B71" t="str">
        <f>'sample processing comments'!B70</f>
        <v>47_3800</v>
      </c>
      <c r="C71">
        <f>'sample processing comments'!C70</f>
        <v>17</v>
      </c>
      <c r="D71">
        <f>'sample processing comments'!D70</f>
        <v>40</v>
      </c>
      <c r="E71">
        <f>'mass filt'!V73</f>
        <v>1244.3</v>
      </c>
      <c r="F71">
        <v>0.5</v>
      </c>
      <c r="G71" t="str">
        <f>'sample processing comments'!H70</f>
        <v>IN2022_V03 carboy 5, 12/5/22 02:15 -46.737, 141.647</v>
      </c>
      <c r="H71" s="143">
        <f t="shared" si="20"/>
        <v>17</v>
      </c>
      <c r="I71">
        <f t="shared" si="21"/>
        <v>146.38823529411764</v>
      </c>
      <c r="J71">
        <f t="shared" si="22"/>
        <v>53.468302941176468</v>
      </c>
      <c r="L71">
        <v>1</v>
      </c>
      <c r="M71" s="100">
        <f>'CHN raw data'!D79</f>
        <v>12.215860366821289</v>
      </c>
      <c r="N71" s="100">
        <f>'CHN raw data'!E79</f>
        <v>1.1880029439926147</v>
      </c>
      <c r="O71" s="100">
        <f>'CHN raw data'!F79</f>
        <v>0.86576175689697266</v>
      </c>
      <c r="R71">
        <f>pH_Sal!D61</f>
        <v>37.54</v>
      </c>
      <c r="S71">
        <f>pH_Sal!K61</f>
        <v>8.44</v>
      </c>
      <c r="T71" s="124">
        <f>'Schedule and logs'!Y122</f>
        <v>44587</v>
      </c>
      <c r="U71" s="124">
        <f>'Schedule and logs'!Y123</f>
        <v>44604</v>
      </c>
      <c r="V71" s="124">
        <f t="shared" si="23"/>
        <v>44595.5</v>
      </c>
      <c r="W71" s="143">
        <f t="shared" si="24"/>
        <v>289</v>
      </c>
      <c r="X71">
        <f t="shared" si="29"/>
        <v>272</v>
      </c>
      <c r="AB71">
        <f>'BSi data'!S110</f>
        <v>12.183173386141295</v>
      </c>
      <c r="AC71">
        <f>'BSi data'!T110</f>
        <v>26.062188991571038</v>
      </c>
      <c r="AF71">
        <f>'PIC data'!AF66</f>
        <v>50.274385895742</v>
      </c>
      <c r="AG71">
        <f t="shared" si="25"/>
        <v>6.0327113199415843</v>
      </c>
      <c r="AH71">
        <f t="shared" si="26"/>
        <v>6.1831490468797048</v>
      </c>
      <c r="AI71" s="100">
        <f t="shared" si="27"/>
        <v>96.506343579521214</v>
      </c>
      <c r="AJ71" s="100"/>
      <c r="AK71" s="100">
        <f t="shared" si="28"/>
        <v>8.3311786122588973</v>
      </c>
    </row>
    <row r="72" spans="1:37">
      <c r="A72">
        <f>'sample processing comments'!A71</f>
        <v>2021</v>
      </c>
      <c r="B72" t="str">
        <f>'sample processing comments'!B71</f>
        <v>47_3800</v>
      </c>
      <c r="C72">
        <f>'sample processing comments'!C71</f>
        <v>18</v>
      </c>
      <c r="D72">
        <f>'sample processing comments'!D71</f>
        <v>20</v>
      </c>
      <c r="E72">
        <f>'mass filt'!V75</f>
        <v>826.4</v>
      </c>
      <c r="F72">
        <v>0.5</v>
      </c>
      <c r="G72" t="str">
        <f>'sample processing comments'!H71</f>
        <v>IN2022_V03 carboy 5, 12/5/22 02:15 -46.737, 141.647</v>
      </c>
      <c r="H72" s="143">
        <f t="shared" si="20"/>
        <v>17</v>
      </c>
      <c r="I72">
        <f t="shared" si="21"/>
        <v>97.223529411764702</v>
      </c>
      <c r="J72">
        <f t="shared" si="22"/>
        <v>35.510894117647062</v>
      </c>
      <c r="L72">
        <v>1</v>
      </c>
      <c r="M72" s="100">
        <f>'CHN raw data'!D80</f>
        <v>13.20694637298584</v>
      </c>
      <c r="N72" s="100">
        <f>'CHN raw data'!E80</f>
        <v>1.1260498762130737</v>
      </c>
      <c r="O72" s="100">
        <f>'CHN raw data'!F80</f>
        <v>0.96769630908966064</v>
      </c>
      <c r="R72">
        <f>pH_Sal!D62</f>
        <v>38.770000000000003</v>
      </c>
      <c r="S72">
        <f>pH_Sal!K62</f>
        <v>8.49</v>
      </c>
      <c r="T72" s="124">
        <f>'Schedule and logs'!Y123</f>
        <v>44604</v>
      </c>
      <c r="U72" s="124">
        <f>'Schedule and logs'!Y124</f>
        <v>44621</v>
      </c>
      <c r="V72" s="124">
        <f t="shared" si="23"/>
        <v>44612.5</v>
      </c>
      <c r="W72" s="143">
        <f t="shared" si="24"/>
        <v>306</v>
      </c>
      <c r="X72">
        <f t="shared" si="29"/>
        <v>289</v>
      </c>
      <c r="AB72">
        <f>'BSi data'!S111</f>
        <v>9.8220868190892645</v>
      </c>
      <c r="AC72">
        <f>'BSi data'!T111</f>
        <v>21.011363366289569</v>
      </c>
      <c r="AF72">
        <f>'PIC data'!AF67</f>
        <v>55.710872875184357</v>
      </c>
      <c r="AG72">
        <f t="shared" si="25"/>
        <v>6.6850665095128745</v>
      </c>
      <c r="AH72">
        <f t="shared" si="26"/>
        <v>6.5218798634729653</v>
      </c>
      <c r="AI72" s="100">
        <f t="shared" si="27"/>
        <v>97.081621911406302</v>
      </c>
      <c r="AJ72" s="100"/>
      <c r="AK72" s="100">
        <f t="shared" si="28"/>
        <v>7.8619239391813585</v>
      </c>
    </row>
    <row r="73" spans="1:37">
      <c r="A73">
        <f>'sample processing comments'!A72</f>
        <v>2021</v>
      </c>
      <c r="B73" t="str">
        <f>'sample processing comments'!B72</f>
        <v>47_3800</v>
      </c>
      <c r="C73">
        <f>'sample processing comments'!C72</f>
        <v>19</v>
      </c>
      <c r="D73">
        <f>'sample processing comments'!D72</f>
        <v>10</v>
      </c>
      <c r="E73">
        <f>'mass filt'!V76</f>
        <v>534.67142857142858</v>
      </c>
      <c r="F73">
        <v>0.5</v>
      </c>
      <c r="G73" t="str">
        <f>'sample processing comments'!H72</f>
        <v>IN2022_V03 carboy 5, 12/5/22 02:15 -46.737, 141.647</v>
      </c>
      <c r="H73" s="143">
        <f t="shared" si="20"/>
        <v>17</v>
      </c>
      <c r="I73">
        <f t="shared" si="21"/>
        <v>62.902521008403362</v>
      </c>
      <c r="J73">
        <f t="shared" si="22"/>
        <v>22.975145798319328</v>
      </c>
      <c r="L73">
        <v>1</v>
      </c>
      <c r="M73" s="100">
        <f>'CHN raw data'!D83</f>
        <v>12.760601043701172</v>
      </c>
      <c r="N73" s="100">
        <f>'CHN raw data'!E83</f>
        <v>0.8876107931137085</v>
      </c>
      <c r="O73" s="100">
        <f>'CHN raw data'!F83</f>
        <v>0.75886780023574829</v>
      </c>
      <c r="R73">
        <f>pH_Sal!D63</f>
        <v>37.58</v>
      </c>
      <c r="S73">
        <f>pH_Sal!K63</f>
        <v>8.58</v>
      </c>
      <c r="T73" s="124">
        <f>'Schedule and logs'!Y124</f>
        <v>44621</v>
      </c>
      <c r="U73" s="124">
        <f>'Schedule and logs'!Y125</f>
        <v>44638</v>
      </c>
      <c r="V73" s="124">
        <f t="shared" si="23"/>
        <v>44629.5</v>
      </c>
      <c r="W73" s="143">
        <f t="shared" si="24"/>
        <v>323</v>
      </c>
      <c r="X73">
        <f t="shared" si="29"/>
        <v>306</v>
      </c>
      <c r="AB73">
        <f>'BSi data'!S112</f>
        <v>7.5368776085141906</v>
      </c>
      <c r="AC73">
        <f>'BSi data'!T112</f>
        <v>16.122854236227045</v>
      </c>
      <c r="AF73">
        <f>'PIC data'!AF68</f>
        <v>64.347281548320183</v>
      </c>
      <c r="AG73">
        <f t="shared" si="25"/>
        <v>7.7213986185537307</v>
      </c>
      <c r="AH73">
        <f t="shared" si="26"/>
        <v>5.0392024251474412</v>
      </c>
      <c r="AI73" s="100">
        <f t="shared" si="27"/>
        <v>97.02989508585658</v>
      </c>
      <c r="AJ73" s="100"/>
      <c r="AK73" s="100">
        <f t="shared" si="28"/>
        <v>7.7462374707542772</v>
      </c>
    </row>
    <row r="74" spans="1:37">
      <c r="A74">
        <f>'sample processing comments'!A73</f>
        <v>2021</v>
      </c>
      <c r="B74" t="str">
        <f>'sample processing comments'!B73</f>
        <v>47_3800</v>
      </c>
      <c r="C74">
        <f>'sample processing comments'!C73</f>
        <v>20</v>
      </c>
      <c r="D74">
        <f>'sample processing comments'!D73</f>
        <v>5</v>
      </c>
      <c r="E74">
        <f>'mass filt'!V77</f>
        <v>307.75714285714287</v>
      </c>
      <c r="F74">
        <v>0.5</v>
      </c>
      <c r="G74" t="str">
        <f>'sample processing comments'!H73</f>
        <v>IN2022_V03 carboy 5, 12/5/22 02:15 -46.737, 141.647</v>
      </c>
      <c r="H74" s="143">
        <f t="shared" si="20"/>
        <v>17</v>
      </c>
      <c r="I74">
        <f t="shared" si="21"/>
        <v>36.206722689075633</v>
      </c>
      <c r="J74">
        <f t="shared" si="22"/>
        <v>13.224505462184874</v>
      </c>
      <c r="L74">
        <v>1</v>
      </c>
      <c r="M74" s="100">
        <f>'CHN raw data'!D84</f>
        <v>13.243734359741211</v>
      </c>
      <c r="N74" s="100">
        <f>'CHN raw data'!E84</f>
        <v>0.93009138107299805</v>
      </c>
      <c r="O74" s="100">
        <f>'CHN raw data'!F84</f>
        <v>0.85906893014907837</v>
      </c>
      <c r="R74">
        <f>pH_Sal!D64</f>
        <v>37.700000000000003</v>
      </c>
      <c r="S74">
        <f>pH_Sal!K64</f>
        <v>8.6</v>
      </c>
      <c r="T74" s="124">
        <f>'Schedule and logs'!Y125</f>
        <v>44638</v>
      </c>
      <c r="U74" s="124">
        <f>'Schedule and logs'!Y126</f>
        <v>44655</v>
      </c>
      <c r="V74" s="124">
        <f t="shared" si="23"/>
        <v>44646.5</v>
      </c>
      <c r="W74" s="143">
        <f t="shared" si="24"/>
        <v>340</v>
      </c>
      <c r="X74">
        <f t="shared" si="29"/>
        <v>323</v>
      </c>
      <c r="AB74">
        <f>'BSi data'!S113</f>
        <v>6.4887899999999998</v>
      </c>
      <c r="AC74">
        <f>'BSi data'!T113</f>
        <v>13.880790000000001</v>
      </c>
      <c r="AF74">
        <f>'PIC data'!AF69</f>
        <v>65.307426314780514</v>
      </c>
      <c r="AG74">
        <f t="shared" si="25"/>
        <v>7.8366118846773549</v>
      </c>
      <c r="AH74">
        <f t="shared" si="26"/>
        <v>5.407122475063856</v>
      </c>
      <c r="AI74" s="100">
        <f t="shared" si="27"/>
        <v>96.310772659921</v>
      </c>
      <c r="AJ74" s="100"/>
      <c r="AK74" s="100">
        <f t="shared" si="28"/>
        <v>7.3423202364182938</v>
      </c>
    </row>
    <row r="75" spans="1:37">
      <c r="A75">
        <f>'sample processing comments'!A74</f>
        <v>2021</v>
      </c>
      <c r="B75" t="str">
        <f>'sample processing comments'!B74</f>
        <v>47_3800</v>
      </c>
      <c r="C75">
        <f>'sample processing comments'!C74</f>
        <v>21</v>
      </c>
      <c r="D75">
        <f>'sample processing comments'!D74</f>
        <v>4</v>
      </c>
      <c r="E75">
        <f>'mass filt'!V78</f>
        <v>388.42857142857144</v>
      </c>
      <c r="F75">
        <v>0.5</v>
      </c>
      <c r="G75" t="str">
        <f>'sample processing comments'!H74</f>
        <v>IN2022_V03 carboy 5, 12/5/22 02:15 -46.737, 141.647</v>
      </c>
      <c r="H75" s="143">
        <f t="shared" si="20"/>
        <v>17</v>
      </c>
      <c r="I75">
        <f t="shared" si="21"/>
        <v>45.69747899159664</v>
      </c>
      <c r="J75">
        <f t="shared" si="22"/>
        <v>16.691004201680673</v>
      </c>
      <c r="L75">
        <v>1</v>
      </c>
      <c r="M75" s="100">
        <f>'CHN raw data'!D85</f>
        <v>12.574892044067383</v>
      </c>
      <c r="N75" s="100">
        <f>'CHN raw data'!E85</f>
        <v>0.75338006019592285</v>
      </c>
      <c r="O75" s="100">
        <f>'CHN raw data'!F85</f>
        <v>0.58193188905715942</v>
      </c>
      <c r="R75">
        <f>pH_Sal!D65</f>
        <v>36.96</v>
      </c>
      <c r="S75">
        <f>pH_Sal!K65</f>
        <v>8.57</v>
      </c>
      <c r="T75" s="124">
        <f>'Schedule and logs'!Y126</f>
        <v>44655</v>
      </c>
      <c r="U75" s="124">
        <f>'Schedule and logs'!Y127</f>
        <v>44672</v>
      </c>
      <c r="V75" s="124">
        <f t="shared" si="23"/>
        <v>44663.5</v>
      </c>
      <c r="W75" s="143">
        <f t="shared" si="24"/>
        <v>357</v>
      </c>
      <c r="X75" s="143">
        <f>X74+H75</f>
        <v>340</v>
      </c>
      <c r="AB75">
        <f>'BSi data'!S114</f>
        <v>5.7058408597039261</v>
      </c>
      <c r="AC75">
        <f>'BSi data'!T114</f>
        <v>12.205908766807012</v>
      </c>
      <c r="AF75">
        <f>'PIC data'!AF70</f>
        <v>70.845809336024359</v>
      </c>
      <c r="AG75">
        <f t="shared" si="25"/>
        <v>8.5011941635284192</v>
      </c>
      <c r="AH75">
        <f t="shared" si="26"/>
        <v>4.0736978805389636</v>
      </c>
      <c r="AI75" s="100">
        <f t="shared" si="27"/>
        <v>97.05650340436587</v>
      </c>
      <c r="AJ75" s="100"/>
      <c r="AK75" s="100">
        <f t="shared" si="28"/>
        <v>8.1660453678224538</v>
      </c>
    </row>
    <row r="76" spans="1:37">
      <c r="A76" s="48" t="str">
        <f>'sample processing comments'!A75</f>
        <v>Pick up 14/05/2022 IN2022_V03</v>
      </c>
      <c r="T76" s="124"/>
      <c r="U76" s="124"/>
      <c r="V76" s="124"/>
      <c r="W76" s="143"/>
    </row>
    <row r="78" spans="1:37">
      <c r="E78" s="48"/>
    </row>
    <row r="79" spans="1:37">
      <c r="A79" s="174"/>
      <c r="B79" s="174" t="s">
        <v>266</v>
      </c>
      <c r="C79" s="70"/>
      <c r="D79" s="243" t="s">
        <v>267</v>
      </c>
      <c r="E79" s="97"/>
      <c r="F79" s="176"/>
      <c r="G79" s="180"/>
      <c r="H79" s="179"/>
      <c r="I79" s="179"/>
      <c r="J79" s="179"/>
    </row>
    <row r="80" spans="1:37">
      <c r="A80" s="176" t="s">
        <v>43</v>
      </c>
      <c r="B80" s="70"/>
      <c r="C80" s="70"/>
      <c r="D80" s="243">
        <f>COUNT(F7:F27)</f>
        <v>21</v>
      </c>
      <c r="E80" s="97"/>
      <c r="F80" s="70"/>
      <c r="G80" s="180"/>
      <c r="H80" s="101"/>
      <c r="I80" s="179"/>
      <c r="J80" s="179"/>
    </row>
    <row r="81" spans="1:12">
      <c r="A81" s="176" t="s">
        <v>46</v>
      </c>
      <c r="B81" s="70"/>
      <c r="C81" s="70"/>
      <c r="D81" s="243">
        <f>COUNT(F31:F51)</f>
        <v>21</v>
      </c>
      <c r="E81" s="97"/>
      <c r="F81" s="70"/>
      <c r="G81" s="180"/>
      <c r="H81" s="101"/>
      <c r="I81" s="179"/>
      <c r="J81" s="179"/>
    </row>
    <row r="82" spans="1:12">
      <c r="A82" s="176" t="s">
        <v>47</v>
      </c>
      <c r="B82" s="70"/>
      <c r="C82" s="70"/>
      <c r="D82" s="243">
        <f>COUNT(F55:F75)</f>
        <v>21</v>
      </c>
      <c r="E82" s="97"/>
      <c r="F82" s="70"/>
      <c r="G82" s="180"/>
      <c r="H82" s="101"/>
      <c r="I82" s="179"/>
      <c r="J82" s="179"/>
    </row>
    <row r="83" spans="1:12">
      <c r="A83" s="174" t="s">
        <v>268</v>
      </c>
      <c r="B83" s="70"/>
      <c r="C83" s="70"/>
      <c r="D83" s="172">
        <f>SUM(D80:D82)</f>
        <v>63</v>
      </c>
      <c r="E83" s="97"/>
      <c r="F83" s="176"/>
      <c r="G83" s="180"/>
      <c r="H83" s="179"/>
      <c r="I83" s="179"/>
      <c r="J83" s="101"/>
    </row>
    <row r="84" spans="1:12">
      <c r="A84" s="174" t="s">
        <v>269</v>
      </c>
      <c r="B84" s="70"/>
      <c r="C84" s="70"/>
      <c r="D84" s="172">
        <f>SUM(D80:D82)</f>
        <v>63</v>
      </c>
      <c r="E84" s="97"/>
      <c r="F84" s="176"/>
      <c r="G84" s="180"/>
      <c r="H84" s="179"/>
      <c r="I84" s="179"/>
      <c r="J84" s="101"/>
    </row>
    <row r="85" spans="1:12">
      <c r="A85" s="70"/>
      <c r="B85" s="70"/>
      <c r="C85" s="70"/>
      <c r="D85" s="172" t="s">
        <v>270</v>
      </c>
      <c r="E85" s="97" t="s">
        <v>271</v>
      </c>
      <c r="F85" s="176" t="s">
        <v>124</v>
      </c>
      <c r="G85" s="180"/>
      <c r="H85" s="179"/>
      <c r="I85" s="179"/>
      <c r="J85" s="179"/>
    </row>
    <row r="86" spans="1:12">
      <c r="A86" s="70" t="s">
        <v>272</v>
      </c>
      <c r="B86" s="70"/>
      <c r="C86" s="176"/>
      <c r="D86" s="172">
        <f>F86-E86</f>
        <v>63</v>
      </c>
      <c r="E86" s="131">
        <v>0</v>
      </c>
      <c r="F86" s="288">
        <f>COUNT(F7:F75)</f>
        <v>63</v>
      </c>
      <c r="G86" s="180"/>
      <c r="H86" s="181"/>
      <c r="I86" s="179"/>
      <c r="J86" s="179"/>
    </row>
    <row r="87" spans="1:12">
      <c r="A87" s="177"/>
      <c r="B87" s="177"/>
      <c r="C87" s="175"/>
      <c r="D87" s="181"/>
      <c r="E87" s="178"/>
      <c r="F87" s="181"/>
      <c r="G87" s="180"/>
      <c r="H87" s="181"/>
      <c r="I87" s="179"/>
      <c r="J87" s="179"/>
    </row>
    <row r="88" spans="1:12">
      <c r="A88" s="177"/>
      <c r="B88" s="177"/>
      <c r="C88" s="177"/>
      <c r="D88" s="181"/>
      <c r="E88" s="97" t="s">
        <v>273</v>
      </c>
      <c r="F88" s="176" t="s">
        <v>208</v>
      </c>
      <c r="G88" s="174"/>
      <c r="H88" s="70" t="s">
        <v>274</v>
      </c>
      <c r="I88" s="176" t="s">
        <v>275</v>
      </c>
      <c r="J88" s="70" t="s">
        <v>274</v>
      </c>
    </row>
    <row r="89" spans="1:12">
      <c r="A89" s="177"/>
      <c r="B89" s="177"/>
      <c r="C89" s="177"/>
      <c r="D89" s="181"/>
      <c r="E89" s="97" t="s">
        <v>276</v>
      </c>
      <c r="F89" s="176" t="s">
        <v>254</v>
      </c>
      <c r="G89" s="174"/>
      <c r="H89" s="70" t="s">
        <v>255</v>
      </c>
      <c r="I89" s="176" t="s">
        <v>257</v>
      </c>
      <c r="J89" s="176" t="s">
        <v>277</v>
      </c>
    </row>
    <row r="90" spans="1:12">
      <c r="A90" s="176" t="s">
        <v>43</v>
      </c>
      <c r="B90" s="177"/>
      <c r="C90" s="177"/>
      <c r="D90" s="181"/>
      <c r="E90" s="97">
        <f>SUM(E7:E27)</f>
        <v>12067.442857142854</v>
      </c>
      <c r="F90" s="174">
        <v>0.5</v>
      </c>
      <c r="G90" s="174"/>
      <c r="H90" s="176">
        <f>SUM(H7:H27)</f>
        <v>357</v>
      </c>
      <c r="I90" s="176">
        <f>0.001*365.25*E90/F90/H90</f>
        <v>24.692624669867939</v>
      </c>
      <c r="J90" s="176">
        <f>100*H90/365</f>
        <v>97.808219178082197</v>
      </c>
    </row>
    <row r="91" spans="1:12">
      <c r="A91" s="70" t="s">
        <v>46</v>
      </c>
      <c r="B91" s="177"/>
      <c r="C91" s="177"/>
      <c r="D91" s="181"/>
      <c r="E91" s="97">
        <f>SUM(E31:E51)</f>
        <v>12718.214285714288</v>
      </c>
      <c r="F91" s="174">
        <v>0.5</v>
      </c>
      <c r="G91" s="174"/>
      <c r="H91" s="176">
        <f>SUM(H31:H51)</f>
        <v>357</v>
      </c>
      <c r="I91" s="176">
        <f>0.001*365.25*E91/F91/H91</f>
        <v>26.024245198079239</v>
      </c>
      <c r="J91" s="176">
        <f>100*H91/365</f>
        <v>97.808219178082197</v>
      </c>
    </row>
    <row r="92" spans="1:12">
      <c r="A92" s="176" t="s">
        <v>47</v>
      </c>
      <c r="B92" s="177"/>
      <c r="C92" s="177"/>
      <c r="D92" s="181"/>
      <c r="E92" s="97">
        <f>SUM(E55:E75)</f>
        <v>11582.171428571426</v>
      </c>
      <c r="F92" s="174">
        <v>0.5</v>
      </c>
      <c r="G92" s="174"/>
      <c r="H92" s="176">
        <f>SUM(H55:H75)</f>
        <v>357</v>
      </c>
      <c r="I92" s="176">
        <f>0.001*365.25*E92/F92/H92</f>
        <v>23.699653301320524</v>
      </c>
      <c r="J92" s="176">
        <f>100*H92/365</f>
        <v>97.808219178082197</v>
      </c>
      <c r="K92" s="59"/>
      <c r="L92" s="59"/>
    </row>
    <row r="93" spans="1:12">
      <c r="A93" s="177"/>
      <c r="B93" s="177"/>
      <c r="C93" s="177"/>
      <c r="D93" s="181"/>
      <c r="E93" s="178"/>
      <c r="F93" s="179"/>
      <c r="G93" s="180"/>
      <c r="H93" s="179"/>
      <c r="I93" s="179"/>
      <c r="J93" s="179"/>
    </row>
  </sheetData>
  <conditionalFormatting sqref="AI7:AI27">
    <cfRule type="cellIs" dxfId="5" priority="5" operator="lessThan">
      <formula>90</formula>
    </cfRule>
    <cfRule type="cellIs" dxfId="4" priority="6" operator="greaterThan">
      <formula>110</formula>
    </cfRule>
  </conditionalFormatting>
  <conditionalFormatting sqref="AI31:AI51">
    <cfRule type="cellIs" dxfId="3" priority="3" operator="lessThan">
      <formula>90</formula>
    </cfRule>
    <cfRule type="cellIs" dxfId="2" priority="4" operator="greaterThan">
      <formula>110</formula>
    </cfRule>
  </conditionalFormatting>
  <conditionalFormatting sqref="AI55:AI75">
    <cfRule type="cellIs" dxfId="1" priority="1" operator="lessThan">
      <formula>90</formula>
    </cfRule>
    <cfRule type="cellIs" dxfId="0" priority="2" operator="greaterThan">
      <formula>110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96655-F06B-4B55-B387-E4616C746A99}">
  <dimension ref="A1:BD68"/>
  <sheetViews>
    <sheetView tabSelected="1" workbookViewId="0">
      <selection activeCell="U43" sqref="U43"/>
    </sheetView>
  </sheetViews>
  <sheetFormatPr defaultColWidth="9.1796875" defaultRowHeight="14.5"/>
  <cols>
    <col min="1" max="1" width="9.1796875" style="216"/>
    <col min="2" max="2" width="10.6328125" style="216" customWidth="1"/>
    <col min="3" max="3" width="9.1796875" style="216"/>
    <col min="4" max="4" width="76.1796875" style="216" bestFit="1" customWidth="1"/>
    <col min="5" max="9" width="9.1796875" style="216"/>
    <col min="10" max="10" width="3.7265625" style="216" bestFit="1" customWidth="1"/>
    <col min="11" max="12" width="9.1796875" style="216"/>
    <col min="13" max="13" width="3.7265625" style="216" bestFit="1" customWidth="1"/>
    <col min="14" max="14" width="9.1796875" style="216"/>
    <col min="15" max="15" width="3.7265625" style="216" bestFit="1" customWidth="1"/>
    <col min="16" max="16" width="9.1796875" style="216"/>
    <col min="17" max="17" width="3.7265625" style="216" bestFit="1" customWidth="1"/>
    <col min="18" max="18" width="9.1796875" style="216"/>
    <col min="19" max="19" width="3.7265625" style="216" bestFit="1" customWidth="1"/>
    <col min="20" max="20" width="9.1796875" style="216"/>
    <col min="21" max="21" width="3.7265625" style="216" customWidth="1"/>
    <col min="22" max="28" width="9.1796875" style="216"/>
    <col min="29" max="30" width="11" style="216" bestFit="1" customWidth="1"/>
    <col min="31" max="31" width="24.81640625" style="216" bestFit="1" customWidth="1"/>
    <col min="32" max="41" width="9.1796875" style="216"/>
    <col min="42" max="42" width="3.7265625" style="216" customWidth="1"/>
    <col min="43" max="43" width="9.1796875" style="216"/>
    <col min="44" max="44" width="3.7265625" style="216" customWidth="1"/>
    <col min="45" max="45" width="9.1796875" style="216"/>
    <col min="46" max="46" width="3.7265625" style="216" customWidth="1"/>
    <col min="47" max="47" width="9.1796875" style="216"/>
    <col min="48" max="48" width="3.7265625" style="216" customWidth="1"/>
    <col min="49" max="49" width="9.1796875" style="216"/>
    <col min="50" max="50" width="3.7265625" style="216" customWidth="1"/>
    <col min="51" max="16384" width="9.1796875" style="216"/>
  </cols>
  <sheetData>
    <row r="1" spans="1:56" s="214" customFormat="1">
      <c r="A1" s="214" t="s">
        <v>2051</v>
      </c>
      <c r="B1" s="214" t="s">
        <v>184</v>
      </c>
      <c r="C1" s="214" t="s">
        <v>185</v>
      </c>
      <c r="D1" s="214" t="s">
        <v>109</v>
      </c>
      <c r="E1" s="214" t="s">
        <v>2026</v>
      </c>
      <c r="F1" s="214" t="s">
        <v>2052</v>
      </c>
      <c r="G1" s="214" t="s">
        <v>2053</v>
      </c>
      <c r="H1" s="214" t="s">
        <v>2054</v>
      </c>
      <c r="I1" s="214" t="s">
        <v>2054</v>
      </c>
      <c r="J1" s="214" t="s">
        <v>212</v>
      </c>
      <c r="K1" s="214" t="s">
        <v>226</v>
      </c>
      <c r="L1" s="214" t="s">
        <v>227</v>
      </c>
      <c r="M1" s="214" t="s">
        <v>2055</v>
      </c>
      <c r="N1" s="214" t="s">
        <v>236</v>
      </c>
      <c r="O1" s="214" t="s">
        <v>2056</v>
      </c>
      <c r="P1" s="214" t="s">
        <v>237</v>
      </c>
      <c r="Q1" s="214" t="s">
        <v>2057</v>
      </c>
      <c r="R1" s="214" t="s">
        <v>228</v>
      </c>
      <c r="S1" s="214" t="s">
        <v>2058</v>
      </c>
      <c r="T1" s="214" t="s">
        <v>241</v>
      </c>
      <c r="U1" s="214" t="s">
        <v>2059</v>
      </c>
      <c r="V1" s="214" t="s">
        <v>242</v>
      </c>
      <c r="W1" s="214" t="s">
        <v>226</v>
      </c>
      <c r="X1" s="214" t="s">
        <v>227</v>
      </c>
      <c r="Y1" s="214" t="s">
        <v>236</v>
      </c>
      <c r="Z1" s="214" t="s">
        <v>237</v>
      </c>
      <c r="AA1" s="214" t="s">
        <v>228</v>
      </c>
      <c r="AB1" s="214" t="s">
        <v>242</v>
      </c>
      <c r="AC1" s="215" t="s">
        <v>210</v>
      </c>
      <c r="AD1" s="215" t="s">
        <v>210</v>
      </c>
      <c r="AE1" s="215" t="s">
        <v>210</v>
      </c>
      <c r="AF1" s="214" t="s">
        <v>210</v>
      </c>
      <c r="AG1" s="214" t="s">
        <v>241</v>
      </c>
      <c r="AH1" s="214" t="s">
        <v>2060</v>
      </c>
      <c r="AI1" s="214" t="s">
        <v>2061</v>
      </c>
      <c r="AJ1" s="214" t="s">
        <v>2062</v>
      </c>
      <c r="AK1" s="214" t="s">
        <v>2063</v>
      </c>
      <c r="AL1" s="214" t="s">
        <v>2064</v>
      </c>
      <c r="AM1" s="214" t="s">
        <v>108</v>
      </c>
      <c r="AO1" s="214" t="s">
        <v>2060</v>
      </c>
      <c r="AP1" s="214" t="s">
        <v>2065</v>
      </c>
      <c r="AQ1" s="214" t="s">
        <v>2061</v>
      </c>
      <c r="AR1" s="214" t="s">
        <v>2066</v>
      </c>
      <c r="AS1" s="214" t="s">
        <v>2062</v>
      </c>
      <c r="AT1" s="214" t="s">
        <v>2067</v>
      </c>
      <c r="AU1" s="214" t="s">
        <v>2063</v>
      </c>
      <c r="AV1" s="214" t="s">
        <v>2068</v>
      </c>
      <c r="AW1" s="214" t="s">
        <v>2064</v>
      </c>
      <c r="AX1" s="214" t="s">
        <v>2069</v>
      </c>
      <c r="AY1" s="214" t="s">
        <v>231</v>
      </c>
      <c r="AZ1" s="214" t="s">
        <v>2070</v>
      </c>
      <c r="BA1" s="214" t="s">
        <v>2071</v>
      </c>
      <c r="BB1" s="214" t="s">
        <v>2072</v>
      </c>
      <c r="BC1" s="214" t="s">
        <v>220</v>
      </c>
      <c r="BD1" s="214" t="s">
        <v>2073</v>
      </c>
    </row>
    <row r="2" spans="1:56">
      <c r="A2" s="216" t="s">
        <v>2074</v>
      </c>
      <c r="E2" s="216" t="s">
        <v>2075</v>
      </c>
      <c r="H2" s="216" t="s">
        <v>275</v>
      </c>
      <c r="I2" s="216" t="s">
        <v>275</v>
      </c>
      <c r="K2" s="216" t="s">
        <v>223</v>
      </c>
      <c r="L2" s="216" t="s">
        <v>223</v>
      </c>
      <c r="N2" s="216" t="s">
        <v>223</v>
      </c>
      <c r="P2" s="216" t="s">
        <v>223</v>
      </c>
      <c r="R2" s="216" t="s">
        <v>223</v>
      </c>
      <c r="T2" s="216" t="s">
        <v>223</v>
      </c>
      <c r="V2" s="216" t="s">
        <v>223</v>
      </c>
      <c r="W2" s="216" t="s">
        <v>275</v>
      </c>
      <c r="X2" s="216" t="s">
        <v>275</v>
      </c>
      <c r="Y2" s="216" t="s">
        <v>275</v>
      </c>
      <c r="Z2" s="216" t="s">
        <v>275</v>
      </c>
      <c r="AA2" s="216" t="s">
        <v>275</v>
      </c>
      <c r="AB2" s="216" t="s">
        <v>275</v>
      </c>
      <c r="AC2" s="216" t="s">
        <v>2076</v>
      </c>
      <c r="AD2" s="216" t="s">
        <v>2077</v>
      </c>
      <c r="AE2" s="216" t="s">
        <v>2078</v>
      </c>
      <c r="AF2" s="216" t="s">
        <v>2079</v>
      </c>
      <c r="AG2" s="216" t="s">
        <v>275</v>
      </c>
      <c r="AH2" s="216" t="s">
        <v>2080</v>
      </c>
      <c r="AI2" s="216" t="s">
        <v>2081</v>
      </c>
      <c r="AJ2" s="216" t="s">
        <v>2082</v>
      </c>
      <c r="AK2" s="216" t="s">
        <v>2083</v>
      </c>
      <c r="AL2" s="216" t="s">
        <v>2084</v>
      </c>
      <c r="AM2" s="216" t="s">
        <v>2085</v>
      </c>
      <c r="AO2" s="216" t="s">
        <v>2080</v>
      </c>
      <c r="AQ2" s="216" t="s">
        <v>2081</v>
      </c>
      <c r="AS2" s="216" t="s">
        <v>2082</v>
      </c>
      <c r="AU2" s="216" t="s">
        <v>2083</v>
      </c>
      <c r="AW2" s="216" t="s">
        <v>2084</v>
      </c>
    </row>
    <row r="3" spans="1:56">
      <c r="G3" s="216" t="s">
        <v>246</v>
      </c>
      <c r="H3" s="216" t="s">
        <v>246</v>
      </c>
      <c r="I3" s="216" t="s">
        <v>246</v>
      </c>
      <c r="K3" s="216" t="s">
        <v>246</v>
      </c>
      <c r="L3" s="216" t="s">
        <v>246</v>
      </c>
      <c r="N3" s="216" t="s">
        <v>246</v>
      </c>
      <c r="P3" s="216" t="s">
        <v>246</v>
      </c>
      <c r="R3" s="216" t="s">
        <v>246</v>
      </c>
      <c r="T3" s="216" t="s">
        <v>246</v>
      </c>
      <c r="V3" s="216" t="s">
        <v>246</v>
      </c>
      <c r="W3" s="216" t="s">
        <v>246</v>
      </c>
      <c r="X3" s="216" t="s">
        <v>246</v>
      </c>
      <c r="Y3" s="216" t="s">
        <v>246</v>
      </c>
      <c r="Z3" s="216" t="s">
        <v>246</v>
      </c>
      <c r="AA3" s="216" t="s">
        <v>246</v>
      </c>
      <c r="AB3" s="216" t="s">
        <v>246</v>
      </c>
      <c r="AE3" s="216">
        <v>1</v>
      </c>
      <c r="AG3" s="216" t="s">
        <v>246</v>
      </c>
      <c r="AH3" s="216" t="s">
        <v>2086</v>
      </c>
      <c r="AI3" s="216" t="s">
        <v>2086</v>
      </c>
      <c r="AJ3" s="216" t="s">
        <v>2086</v>
      </c>
      <c r="AK3" s="216" t="s">
        <v>2086</v>
      </c>
      <c r="AL3" s="216" t="s">
        <v>2086</v>
      </c>
      <c r="AM3" s="216" t="s">
        <v>2087</v>
      </c>
      <c r="AO3" s="216" t="s">
        <v>2088</v>
      </c>
      <c r="AQ3" s="216" t="s">
        <v>2088</v>
      </c>
      <c r="AS3" s="216" t="s">
        <v>2088</v>
      </c>
      <c r="AU3" s="216" t="s">
        <v>2088</v>
      </c>
      <c r="AW3" s="216" t="s">
        <v>2088</v>
      </c>
      <c r="AY3" s="216" t="s">
        <v>2089</v>
      </c>
    </row>
    <row r="4" spans="1:56">
      <c r="E4" s="216" t="s">
        <v>2090</v>
      </c>
      <c r="G4" s="216" t="s">
        <v>196</v>
      </c>
      <c r="H4" s="216" t="s">
        <v>256</v>
      </c>
      <c r="I4" s="216" t="s">
        <v>257</v>
      </c>
      <c r="K4" s="216" t="s">
        <v>262</v>
      </c>
      <c r="L4" s="216" t="s">
        <v>262</v>
      </c>
      <c r="N4" s="216" t="s">
        <v>262</v>
      </c>
      <c r="P4" s="216" t="s">
        <v>262</v>
      </c>
      <c r="R4" s="216" t="s">
        <v>262</v>
      </c>
      <c r="T4" s="216" t="s">
        <v>262</v>
      </c>
      <c r="V4" s="216" t="s">
        <v>262</v>
      </c>
      <c r="W4" s="216" t="s">
        <v>257</v>
      </c>
      <c r="X4" s="216" t="s">
        <v>257</v>
      </c>
      <c r="Y4" s="216" t="s">
        <v>257</v>
      </c>
      <c r="Z4" s="216" t="s">
        <v>257</v>
      </c>
      <c r="AA4" s="216" t="s">
        <v>257</v>
      </c>
      <c r="AB4" s="216" t="s">
        <v>257</v>
      </c>
      <c r="AC4" s="216" t="s">
        <v>2030</v>
      </c>
      <c r="AD4" s="216" t="s">
        <v>2030</v>
      </c>
      <c r="AE4" s="216" t="s">
        <v>2091</v>
      </c>
      <c r="AF4" s="216" t="s">
        <v>255</v>
      </c>
      <c r="AG4" s="216" t="s">
        <v>257</v>
      </c>
      <c r="AH4" s="216" t="s">
        <v>246</v>
      </c>
      <c r="AI4" s="216" t="s">
        <v>246</v>
      </c>
      <c r="AJ4" s="216" t="s">
        <v>246</v>
      </c>
      <c r="AK4" s="216" t="s">
        <v>246</v>
      </c>
      <c r="AL4" s="216" t="s">
        <v>246</v>
      </c>
      <c r="AO4" s="216" t="s">
        <v>246</v>
      </c>
      <c r="AQ4" s="216" t="s">
        <v>246</v>
      </c>
      <c r="AS4" s="216" t="s">
        <v>246</v>
      </c>
      <c r="AU4" s="216" t="s">
        <v>246</v>
      </c>
      <c r="AW4" s="216" t="s">
        <v>246</v>
      </c>
    </row>
    <row r="6" spans="1:56">
      <c r="A6" s="216">
        <f>main!A7</f>
        <v>2021</v>
      </c>
      <c r="B6" s="216" t="str">
        <f>main!B7</f>
        <v>47_1000</v>
      </c>
      <c r="C6" s="216">
        <v>1</v>
      </c>
      <c r="D6" s="216" t="str">
        <f>main!$B$6</f>
        <v>McLane-PARFLUX-Mark78H-21 ; frame# 2241, controller# 11640-01 and Motor # 11640-01 Cup set Dx21</v>
      </c>
      <c r="E6" s="216">
        <v>1000</v>
      </c>
      <c r="F6" s="216">
        <v>1</v>
      </c>
      <c r="G6" s="217">
        <f>main!E7</f>
        <v>514.7714285714286</v>
      </c>
      <c r="H6" s="218">
        <f>main!I7</f>
        <v>60.561344537815131</v>
      </c>
      <c r="I6" s="218">
        <f>main!J7</f>
        <v>22.120031092436978</v>
      </c>
      <c r="J6" s="219">
        <v>1</v>
      </c>
      <c r="K6" s="219">
        <f>main!AF7</f>
        <v>56.120943126948475</v>
      </c>
      <c r="L6" s="219">
        <f>main!AG7</f>
        <v>6.7342731861477496</v>
      </c>
      <c r="M6" s="219">
        <v>1</v>
      </c>
      <c r="N6" s="219">
        <f>main!M7</f>
        <v>20.56840705871582</v>
      </c>
      <c r="O6" s="219">
        <v>1</v>
      </c>
      <c r="P6" s="219">
        <f>main!O7</f>
        <v>2.1642990112304688</v>
      </c>
      <c r="Q6" s="219">
        <v>1</v>
      </c>
      <c r="R6" s="219">
        <f>main!AH7</f>
        <v>13.834133872568071</v>
      </c>
      <c r="S6" s="219">
        <v>1</v>
      </c>
      <c r="T6" s="219">
        <f>main!AB7</f>
        <v>3.0862671942872186</v>
      </c>
      <c r="U6" s="219">
        <v>1</v>
      </c>
      <c r="V6" s="219">
        <f>main!AC7</f>
        <v>6.6021287185731206</v>
      </c>
      <c r="W6" s="219">
        <f>(K6/100)*$I6</f>
        <v>12.413970069049876</v>
      </c>
      <c r="X6" s="219">
        <f t="shared" ref="X6:X68" si="0">(L6/100)*$I6</f>
        <v>1.4896233226255284</v>
      </c>
      <c r="Y6" s="219">
        <f>(N6/100)*$I6</f>
        <v>4.549738036606942</v>
      </c>
      <c r="Z6" s="219">
        <f>(P6/100)*$I6</f>
        <v>0.47874361421748579</v>
      </c>
      <c r="AA6" s="219">
        <f>(R6/100)*$I6</f>
        <v>3.0601147139814131</v>
      </c>
      <c r="AB6" s="219">
        <f>(V6/100)*$I6</f>
        <v>1.4603929253110852</v>
      </c>
      <c r="AC6" s="220">
        <f>main!T7</f>
        <v>44315</v>
      </c>
      <c r="AD6" s="220">
        <f>main!U7</f>
        <v>44332</v>
      </c>
      <c r="AE6" s="220">
        <f>main!V7</f>
        <v>44323.5</v>
      </c>
      <c r="AF6" s="217">
        <f>main!H7</f>
        <v>17</v>
      </c>
      <c r="AG6" s="218">
        <f>(T6/100)*$I6</f>
        <v>0.6826832629720152</v>
      </c>
      <c r="AH6" s="218">
        <f>Y6/12.01</f>
        <v>0.37882914542938734</v>
      </c>
      <c r="AI6" s="218">
        <f>Z6/14.01</f>
        <v>3.4171564183974719E-2</v>
      </c>
      <c r="AJ6" s="218">
        <f>AA6/12.01</f>
        <v>0.25479722847472214</v>
      </c>
      <c r="AK6" s="218">
        <f>X6/12.01</f>
        <v>0.12403191695466514</v>
      </c>
      <c r="AL6" s="218">
        <f>AG6/28.09</f>
        <v>2.4303426948095948E-2</v>
      </c>
      <c r="AM6" s="219">
        <f>depths!$B$2</f>
        <v>1201.9000000000001</v>
      </c>
      <c r="AO6" s="219">
        <f>AH6*1000</f>
        <v>378.82914542938732</v>
      </c>
      <c r="AP6" s="219">
        <v>1</v>
      </c>
      <c r="AQ6" s="219">
        <f>AI6*1000</f>
        <v>34.171564183974716</v>
      </c>
      <c r="AR6" s="219">
        <v>1</v>
      </c>
      <c r="AS6" s="219">
        <f>AJ6*1000</f>
        <v>254.79722847472215</v>
      </c>
      <c r="AT6" s="219">
        <v>1</v>
      </c>
      <c r="AU6" s="219">
        <f>AK6*1000</f>
        <v>124.03191695466515</v>
      </c>
      <c r="AV6" s="219">
        <v>1</v>
      </c>
      <c r="AW6" s="219">
        <f>AL6*1000</f>
        <v>24.30342694809595</v>
      </c>
      <c r="AX6" s="219">
        <v>1</v>
      </c>
      <c r="AY6" s="219">
        <f>AS6/AQ6</f>
        <v>7.4564110411490399</v>
      </c>
      <c r="AZ6" s="219">
        <f>AU6/AQ6</f>
        <v>3.6296821616621178</v>
      </c>
      <c r="BA6" s="219">
        <f>main!R7</f>
        <v>36.979999999999997</v>
      </c>
      <c r="BB6" s="224">
        <v>3</v>
      </c>
      <c r="BC6" s="219">
        <f>main!S7</f>
        <v>6.84</v>
      </c>
      <c r="BD6" s="224">
        <v>4</v>
      </c>
    </row>
    <row r="7" spans="1:56">
      <c r="A7" s="216">
        <f>main!A8</f>
        <v>2021</v>
      </c>
      <c r="B7" s="216" t="str">
        <f>main!B8</f>
        <v>47_1000</v>
      </c>
      <c r="C7" s="216">
        <v>2</v>
      </c>
      <c r="D7" s="216" t="str">
        <f>main!$B$6</f>
        <v>McLane-PARFLUX-Mark78H-21 ; frame# 2241, controller# 11640-01 and Motor # 11640-01 Cup set Dx21</v>
      </c>
      <c r="E7" s="216">
        <v>1000</v>
      </c>
      <c r="F7" s="216">
        <v>1</v>
      </c>
      <c r="G7" s="217">
        <f>main!E8</f>
        <v>487.17142857142852</v>
      </c>
      <c r="H7" s="218">
        <f>main!I8</f>
        <v>57.31428571428571</v>
      </c>
      <c r="I7" s="218">
        <f>main!J8</f>
        <v>20.934042857142856</v>
      </c>
      <c r="J7" s="219">
        <v>1</v>
      </c>
      <c r="K7" s="219">
        <f>main!AF8</f>
        <v>66.974910466021313</v>
      </c>
      <c r="L7" s="219">
        <f>main!AG8</f>
        <v>8.0367028521906061</v>
      </c>
      <c r="M7" s="219">
        <v>1</v>
      </c>
      <c r="N7" s="219">
        <f>main!M8</f>
        <v>14.890074729919434</v>
      </c>
      <c r="O7" s="219">
        <v>1</v>
      </c>
      <c r="P7" s="219">
        <f>main!O8</f>
        <v>0.95788174867630005</v>
      </c>
      <c r="Q7" s="219">
        <v>1</v>
      </c>
      <c r="R7" s="219">
        <f>main!AH8</f>
        <v>6.8533718777288275</v>
      </c>
      <c r="S7" s="219">
        <v>1</v>
      </c>
      <c r="T7" s="219">
        <f>main!AB8</f>
        <v>3.1883006804317224</v>
      </c>
      <c r="U7" s="219">
        <v>1</v>
      </c>
      <c r="V7" s="219">
        <f>main!AC8</f>
        <v>6.8203982871891142</v>
      </c>
      <c r="W7" s="219">
        <f t="shared" ref="W7:W39" si="1">(K7/100)*$I7</f>
        <v>14.020556460489956</v>
      </c>
      <c r="X7" s="219">
        <f t="shared" si="0"/>
        <v>1.682406819378804</v>
      </c>
      <c r="Y7" s="219">
        <f t="shared" ref="Y7:Y39" si="2">(N7/100)*$I7</f>
        <v>3.1170946254219327</v>
      </c>
      <c r="Z7" s="219">
        <f t="shared" ref="Z7:Z39" si="3">(P7/100)*$I7</f>
        <v>0.2005233757886461</v>
      </c>
      <c r="AA7" s="219">
        <f t="shared" ref="AA7:AA39" si="4">(R7/100)*$I7</f>
        <v>1.4346878060431287</v>
      </c>
      <c r="AB7" s="219">
        <f t="shared" ref="AB7:AB39" si="5">(V7/100)*$I7</f>
        <v>1.4277851004680064</v>
      </c>
      <c r="AC7" s="220">
        <f>main!T8</f>
        <v>44332</v>
      </c>
      <c r="AD7" s="220">
        <f>main!U8</f>
        <v>44349</v>
      </c>
      <c r="AE7" s="220">
        <f>main!V8</f>
        <v>44340.5</v>
      </c>
      <c r="AF7" s="217">
        <f>main!H8</f>
        <v>17</v>
      </c>
      <c r="AG7" s="218">
        <f t="shared" ref="AG7:AG39" si="6">(T7/100)*$I7</f>
        <v>0.667440230856154</v>
      </c>
      <c r="AH7" s="218">
        <f t="shared" ref="AH7:AH39" si="7">Y7/12.01</f>
        <v>0.25954160078450733</v>
      </c>
      <c r="AI7" s="218">
        <f t="shared" ref="AI7:AI39" si="8">Z7/14.01</f>
        <v>1.4312874788625703E-2</v>
      </c>
      <c r="AJ7" s="218">
        <f t="shared" ref="AJ7:AJ39" si="9">AA7/12.01</f>
        <v>0.11945776902940289</v>
      </c>
      <c r="AK7" s="218">
        <f t="shared" ref="AK7:AK39" si="10">X7/12.01</f>
        <v>0.14008383175510442</v>
      </c>
      <c r="AL7" s="218">
        <f t="shared" ref="AL7:AL39" si="11">AG7/28.09</f>
        <v>2.3760777175370382E-2</v>
      </c>
      <c r="AM7" s="219">
        <f>depths!$B$2</f>
        <v>1201.9000000000001</v>
      </c>
      <c r="AO7" s="219">
        <f t="shared" ref="AO7:AO39" si="12">AH7*1000</f>
        <v>259.54160078450735</v>
      </c>
      <c r="AP7" s="219">
        <v>1</v>
      </c>
      <c r="AQ7" s="219">
        <f t="shared" ref="AQ7:AQ39" si="13">AI7*1000</f>
        <v>14.312874788625702</v>
      </c>
      <c r="AR7" s="219">
        <v>1</v>
      </c>
      <c r="AS7" s="219">
        <f t="shared" ref="AS7:AS39" si="14">AJ7*1000</f>
        <v>119.45776902940288</v>
      </c>
      <c r="AT7" s="219">
        <v>1</v>
      </c>
      <c r="AU7" s="219">
        <f t="shared" ref="AU7:AU39" si="15">AK7*1000</f>
        <v>140.08383175510443</v>
      </c>
      <c r="AV7" s="219">
        <v>1</v>
      </c>
      <c r="AW7" s="219">
        <f t="shared" ref="AW7:AW39" si="16">AL7*1000</f>
        <v>23.760777175370382</v>
      </c>
      <c r="AX7" s="219">
        <v>1</v>
      </c>
      <c r="AY7" s="219">
        <f t="shared" ref="AY7:AY39" si="17">AS7/AQ7</f>
        <v>8.3461757888313794</v>
      </c>
      <c r="AZ7" s="219">
        <f t="shared" ref="AZ7:AZ39" si="18">AU7/AQ7</f>
        <v>9.7872603389521462</v>
      </c>
      <c r="BA7" s="219">
        <f>main!R8</f>
        <v>38.82</v>
      </c>
      <c r="BB7" s="224">
        <v>3</v>
      </c>
      <c r="BC7" s="219">
        <f>main!S8</f>
        <v>8.31</v>
      </c>
      <c r="BD7" s="224">
        <v>3</v>
      </c>
    </row>
    <row r="8" spans="1:56">
      <c r="A8" s="216">
        <f>main!A9</f>
        <v>2021</v>
      </c>
      <c r="B8" s="216" t="str">
        <f>main!B9</f>
        <v>47_1000</v>
      </c>
      <c r="C8" s="216">
        <v>3</v>
      </c>
      <c r="D8" s="216" t="str">
        <f>main!$B$6</f>
        <v>McLane-PARFLUX-Mark78H-21 ; frame# 2241, controller# 11640-01 and Motor # 11640-01 Cup set Dx21</v>
      </c>
      <c r="E8" s="216">
        <v>1000</v>
      </c>
      <c r="F8" s="216">
        <v>1</v>
      </c>
      <c r="G8" s="217">
        <f>main!E9</f>
        <v>545.62857142857138</v>
      </c>
      <c r="H8" s="218">
        <f>main!I9</f>
        <v>64.191596638655454</v>
      </c>
      <c r="I8" s="218">
        <f>main!J9</f>
        <v>23.445980672268909</v>
      </c>
      <c r="J8" s="219">
        <v>1</v>
      </c>
      <c r="K8" s="219">
        <f>main!AF9</f>
        <v>64.987639329772378</v>
      </c>
      <c r="L8" s="219">
        <f>main!AG9</f>
        <v>7.798238813976317</v>
      </c>
      <c r="M8" s="219">
        <v>1</v>
      </c>
      <c r="N8" s="219">
        <f>main!M9</f>
        <v>14.705620288848877</v>
      </c>
      <c r="O8" s="219">
        <v>1</v>
      </c>
      <c r="P8" s="219">
        <f>main!O9</f>
        <v>1.0430802702903748</v>
      </c>
      <c r="Q8" s="219">
        <v>1</v>
      </c>
      <c r="R8" s="219">
        <f>main!AH9</f>
        <v>6.9073814748725599</v>
      </c>
      <c r="S8" s="219">
        <v>1</v>
      </c>
      <c r="T8" s="219">
        <f>main!AB9</f>
        <v>3.9690303177468964</v>
      </c>
      <c r="U8" s="219">
        <v>1</v>
      </c>
      <c r="V8" s="219">
        <f>main!AC9</f>
        <v>8.4905315697191543</v>
      </c>
      <c r="W8" s="219">
        <f t="shared" si="1"/>
        <v>15.236989356622258</v>
      </c>
      <c r="X8" s="219">
        <f t="shared" si="0"/>
        <v>1.8283735651022597</v>
      </c>
      <c r="Y8" s="219">
        <f t="shared" si="2"/>
        <v>3.4478768906607633</v>
      </c>
      <c r="Z8" s="219">
        <f t="shared" si="3"/>
        <v>0.24456039856853154</v>
      </c>
      <c r="AA8" s="219">
        <f t="shared" si="4"/>
        <v>1.6195033255585034</v>
      </c>
      <c r="AB8" s="219">
        <f t="shared" si="5"/>
        <v>1.9906883908092432</v>
      </c>
      <c r="AC8" s="220">
        <f>main!T9</f>
        <v>44349</v>
      </c>
      <c r="AD8" s="220">
        <f>main!U9</f>
        <v>44366</v>
      </c>
      <c r="AE8" s="220">
        <f>main!V9</f>
        <v>44357.5</v>
      </c>
      <c r="AF8" s="217">
        <f>main!H9</f>
        <v>17</v>
      </c>
      <c r="AG8" s="218">
        <f t="shared" si="6"/>
        <v>0.93057808117543062</v>
      </c>
      <c r="AH8" s="218">
        <f t="shared" si="7"/>
        <v>0.2870838376903217</v>
      </c>
      <c r="AI8" s="218">
        <f t="shared" si="8"/>
        <v>1.745613123258612E-2</v>
      </c>
      <c r="AJ8" s="218">
        <f t="shared" si="9"/>
        <v>0.13484623859771053</v>
      </c>
      <c r="AK8" s="218">
        <f t="shared" si="10"/>
        <v>0.15223759909261114</v>
      </c>
      <c r="AL8" s="218">
        <f t="shared" si="11"/>
        <v>3.3128447176056626E-2</v>
      </c>
      <c r="AM8" s="219">
        <f>depths!$B$2</f>
        <v>1201.9000000000001</v>
      </c>
      <c r="AO8" s="219">
        <f t="shared" si="12"/>
        <v>287.08383769032167</v>
      </c>
      <c r="AP8" s="219">
        <v>1</v>
      </c>
      <c r="AQ8" s="219">
        <f t="shared" si="13"/>
        <v>17.45613123258612</v>
      </c>
      <c r="AR8" s="219">
        <v>1</v>
      </c>
      <c r="AS8" s="219">
        <f t="shared" si="14"/>
        <v>134.84623859771054</v>
      </c>
      <c r="AT8" s="219">
        <v>1</v>
      </c>
      <c r="AU8" s="219">
        <f t="shared" si="15"/>
        <v>152.23759909261113</v>
      </c>
      <c r="AV8" s="219">
        <v>1</v>
      </c>
      <c r="AW8" s="219">
        <f t="shared" si="16"/>
        <v>33.128447176056625</v>
      </c>
      <c r="AX8" s="219">
        <v>1</v>
      </c>
      <c r="AY8" s="219">
        <f t="shared" si="17"/>
        <v>7.7248639346837171</v>
      </c>
      <c r="AZ8" s="219">
        <f t="shared" si="18"/>
        <v>8.7211534482751016</v>
      </c>
      <c r="BA8" s="219">
        <f>main!R9</f>
        <v>38.5</v>
      </c>
      <c r="BB8" s="224">
        <v>3</v>
      </c>
      <c r="BC8" s="219">
        <f>main!S9</f>
        <v>8.27</v>
      </c>
      <c r="BD8" s="224">
        <v>3</v>
      </c>
    </row>
    <row r="9" spans="1:56">
      <c r="A9" s="216">
        <f>main!A10</f>
        <v>2021</v>
      </c>
      <c r="B9" s="216" t="str">
        <f>main!B10</f>
        <v>47_1000</v>
      </c>
      <c r="C9" s="216">
        <v>4</v>
      </c>
      <c r="D9" s="216" t="str">
        <f>main!$B$6</f>
        <v>McLane-PARFLUX-Mark78H-21 ; frame# 2241, controller# 11640-01 and Motor # 11640-01 Cup set Dx21</v>
      </c>
      <c r="E9" s="216">
        <v>1000</v>
      </c>
      <c r="F9" s="216">
        <v>1</v>
      </c>
      <c r="G9" s="217">
        <f>main!E10</f>
        <v>535.7714285714286</v>
      </c>
      <c r="H9" s="218">
        <f>main!I10</f>
        <v>63.031932773109247</v>
      </c>
      <c r="I9" s="218">
        <f>main!J10</f>
        <v>23.022413445378152</v>
      </c>
      <c r="J9" s="219">
        <v>1</v>
      </c>
      <c r="K9" s="219">
        <f>main!AF10</f>
        <v>68.784728071542688</v>
      </c>
      <c r="L9" s="219">
        <f>main!AG10</f>
        <v>8.2538732255592659</v>
      </c>
      <c r="M9" s="219">
        <v>1</v>
      </c>
      <c r="N9" s="219">
        <f>main!M10</f>
        <v>14.667099952697754</v>
      </c>
      <c r="O9" s="219">
        <v>1</v>
      </c>
      <c r="P9" s="219">
        <f>main!O10</f>
        <v>0.99053823947906494</v>
      </c>
      <c r="Q9" s="219">
        <v>1</v>
      </c>
      <c r="R9" s="219">
        <f>main!AH10</f>
        <v>6.413226727138488</v>
      </c>
      <c r="S9" s="219">
        <v>1</v>
      </c>
      <c r="T9" s="219">
        <f>main!AB10</f>
        <v>4.3893203616121266</v>
      </c>
      <c r="U9" s="219">
        <v>1</v>
      </c>
      <c r="V9" s="219">
        <f>main!AC10</f>
        <v>9.3896141163856424</v>
      </c>
      <c r="W9" s="219">
        <f t="shared" si="1"/>
        <v>15.835904483909644</v>
      </c>
      <c r="X9" s="219">
        <f t="shared" si="0"/>
        <v>1.9002408192456239</v>
      </c>
      <c r="Y9" s="219">
        <f t="shared" si="2"/>
        <v>3.3767203915569404</v>
      </c>
      <c r="Z9" s="219">
        <f t="shared" si="3"/>
        <v>0.22804580882744027</v>
      </c>
      <c r="AA9" s="219">
        <f t="shared" si="4"/>
        <v>1.4764795723113164</v>
      </c>
      <c r="AB9" s="219">
        <f t="shared" si="5"/>
        <v>2.161715782799893</v>
      </c>
      <c r="AC9" s="220">
        <f>main!T10</f>
        <v>44366</v>
      </c>
      <c r="AD9" s="220">
        <f>main!U10</f>
        <v>44383</v>
      </c>
      <c r="AE9" s="220">
        <f>main!V10</f>
        <v>44374.5</v>
      </c>
      <c r="AF9" s="217">
        <f>main!H10</f>
        <v>17</v>
      </c>
      <c r="AG9" s="218">
        <f t="shared" si="6"/>
        <v>1.0105274810925111</v>
      </c>
      <c r="AH9" s="218">
        <f t="shared" si="7"/>
        <v>0.28115906674079438</v>
      </c>
      <c r="AI9" s="218">
        <f t="shared" si="8"/>
        <v>1.6277359659346201E-2</v>
      </c>
      <c r="AJ9" s="218">
        <f t="shared" si="9"/>
        <v>0.12293751642891894</v>
      </c>
      <c r="AK9" s="218">
        <f t="shared" si="10"/>
        <v>0.15822155031187543</v>
      </c>
      <c r="AL9" s="218">
        <f t="shared" si="11"/>
        <v>3.5974634428355683E-2</v>
      </c>
      <c r="AM9" s="219">
        <f>depths!$B$2</f>
        <v>1201.9000000000001</v>
      </c>
      <c r="AO9" s="219">
        <f t="shared" si="12"/>
        <v>281.1590667407944</v>
      </c>
      <c r="AP9" s="219">
        <v>1</v>
      </c>
      <c r="AQ9" s="219">
        <f t="shared" si="13"/>
        <v>16.2773596593462</v>
      </c>
      <c r="AR9" s="219">
        <v>1</v>
      </c>
      <c r="AS9" s="219">
        <f t="shared" si="14"/>
        <v>122.93751642891894</v>
      </c>
      <c r="AT9" s="219">
        <v>1</v>
      </c>
      <c r="AU9" s="219">
        <f t="shared" si="15"/>
        <v>158.22155031187543</v>
      </c>
      <c r="AV9" s="219">
        <v>1</v>
      </c>
      <c r="AW9" s="219">
        <f t="shared" si="16"/>
        <v>35.974634428355685</v>
      </c>
      <c r="AX9" s="219">
        <v>1</v>
      </c>
      <c r="AY9" s="219">
        <f t="shared" si="17"/>
        <v>7.552669413330201</v>
      </c>
      <c r="AZ9" s="219">
        <f t="shared" si="18"/>
        <v>9.7203449222200575</v>
      </c>
      <c r="BA9" s="219">
        <f>main!R10</f>
        <v>38.869999999999997</v>
      </c>
      <c r="BB9" s="224">
        <v>3</v>
      </c>
      <c r="BC9" s="219">
        <f>main!S10</f>
        <v>8.33</v>
      </c>
      <c r="BD9" s="224">
        <v>3</v>
      </c>
    </row>
    <row r="10" spans="1:56">
      <c r="A10" s="216">
        <f>main!A11</f>
        <v>2021</v>
      </c>
      <c r="B10" s="216" t="str">
        <f>main!B11</f>
        <v>47_1000</v>
      </c>
      <c r="C10" s="216">
        <v>5</v>
      </c>
      <c r="D10" s="216" t="str">
        <f>main!$B$6</f>
        <v>McLane-PARFLUX-Mark78H-21 ; frame# 2241, controller# 11640-01 and Motor # 11640-01 Cup set Dx21</v>
      </c>
      <c r="E10" s="216">
        <v>1000</v>
      </c>
      <c r="F10" s="216">
        <v>1</v>
      </c>
      <c r="G10" s="217">
        <f>main!E11</f>
        <v>388.17142857142863</v>
      </c>
      <c r="H10" s="218">
        <f>main!I11</f>
        <v>45.667226890756311</v>
      </c>
      <c r="I10" s="218">
        <f>main!J11</f>
        <v>16.67995462184874</v>
      </c>
      <c r="J10" s="219">
        <v>1</v>
      </c>
      <c r="K10" s="219">
        <f>main!AF11</f>
        <v>69.320550402314936</v>
      </c>
      <c r="L10" s="219">
        <f>main!AG11</f>
        <v>8.3181696139235246</v>
      </c>
      <c r="M10" s="219">
        <v>1</v>
      </c>
      <c r="N10" s="219">
        <f>main!M11</f>
        <v>14.313394546508789</v>
      </c>
      <c r="O10" s="219">
        <v>1</v>
      </c>
      <c r="P10" s="219">
        <f>main!O11</f>
        <v>0.95826214551925659</v>
      </c>
      <c r="Q10" s="219">
        <v>1</v>
      </c>
      <c r="R10" s="219">
        <f>main!AH11</f>
        <v>5.9952249325852645</v>
      </c>
      <c r="S10" s="219">
        <v>1</v>
      </c>
      <c r="T10" s="219">
        <f>main!AB11</f>
        <v>4.168429664737987</v>
      </c>
      <c r="U10" s="219">
        <v>1</v>
      </c>
      <c r="V10" s="219">
        <f>main!AC11</f>
        <v>8.9170857441831846</v>
      </c>
      <c r="W10" s="219">
        <f t="shared" si="1"/>
        <v>11.562636350721917</v>
      </c>
      <c r="X10" s="219">
        <f t="shared" si="0"/>
        <v>1.3874669169708544</v>
      </c>
      <c r="Y10" s="219">
        <f t="shared" si="2"/>
        <v>2.3874677152038384</v>
      </c>
      <c r="Z10" s="219">
        <f t="shared" si="3"/>
        <v>0.15983769103096612</v>
      </c>
      <c r="AA10" s="219">
        <f t="shared" si="4"/>
        <v>1.0000007982329837</v>
      </c>
      <c r="AB10" s="219">
        <f t="shared" si="5"/>
        <v>1.487365855721098</v>
      </c>
      <c r="AC10" s="220">
        <f>main!T11</f>
        <v>44383</v>
      </c>
      <c r="AD10" s="220">
        <f>main!U11</f>
        <v>44400</v>
      </c>
      <c r="AE10" s="220">
        <f>main!V11</f>
        <v>44391.5</v>
      </c>
      <c r="AF10" s="217">
        <f>main!H11</f>
        <v>17</v>
      </c>
      <c r="AG10" s="218">
        <f t="shared" si="6"/>
        <v>0.69529217652197772</v>
      </c>
      <c r="AH10" s="218">
        <f t="shared" si="7"/>
        <v>0.19878998461314226</v>
      </c>
      <c r="AI10" s="218">
        <f t="shared" si="8"/>
        <v>1.1408828767378025E-2</v>
      </c>
      <c r="AJ10" s="218">
        <f t="shared" si="9"/>
        <v>8.3264013175102722E-2</v>
      </c>
      <c r="AK10" s="218">
        <f t="shared" si="10"/>
        <v>0.11552597143803951</v>
      </c>
      <c r="AL10" s="218">
        <f t="shared" si="11"/>
        <v>2.4752302474972506E-2</v>
      </c>
      <c r="AM10" s="219">
        <f>depths!$B$2</f>
        <v>1201.9000000000001</v>
      </c>
      <c r="AO10" s="219">
        <f t="shared" si="12"/>
        <v>198.78998461314225</v>
      </c>
      <c r="AP10" s="219">
        <v>1</v>
      </c>
      <c r="AQ10" s="219">
        <f t="shared" si="13"/>
        <v>11.408828767378026</v>
      </c>
      <c r="AR10" s="219">
        <v>1</v>
      </c>
      <c r="AS10" s="219">
        <f t="shared" si="14"/>
        <v>83.264013175102718</v>
      </c>
      <c r="AT10" s="219">
        <v>1</v>
      </c>
      <c r="AU10" s="219">
        <f t="shared" si="15"/>
        <v>115.52597143803952</v>
      </c>
      <c r="AV10" s="219">
        <v>1</v>
      </c>
      <c r="AW10" s="219">
        <f t="shared" si="16"/>
        <v>24.752302474972506</v>
      </c>
      <c r="AX10" s="219">
        <v>1</v>
      </c>
      <c r="AY10" s="219">
        <f t="shared" si="17"/>
        <v>7.2982086831896975</v>
      </c>
      <c r="AZ10" s="219">
        <f t="shared" si="18"/>
        <v>10.12601501815595</v>
      </c>
      <c r="BA10" s="219">
        <f>main!R11</f>
        <v>39.18</v>
      </c>
      <c r="BB10" s="224">
        <v>3</v>
      </c>
      <c r="BC10" s="219">
        <f>main!S11</f>
        <v>8.34</v>
      </c>
      <c r="BD10" s="224">
        <v>3</v>
      </c>
    </row>
    <row r="11" spans="1:56">
      <c r="A11" s="216">
        <f>main!A12</f>
        <v>2021</v>
      </c>
      <c r="B11" s="216" t="str">
        <f>main!B12</f>
        <v>47_1000</v>
      </c>
      <c r="C11" s="216">
        <v>6</v>
      </c>
      <c r="D11" s="216" t="str">
        <f>main!$B$6</f>
        <v>McLane-PARFLUX-Mark78H-21 ; frame# 2241, controller# 11640-01 and Motor # 11640-01 Cup set Dx21</v>
      </c>
      <c r="E11" s="216">
        <v>1000</v>
      </c>
      <c r="F11" s="216">
        <v>1</v>
      </c>
      <c r="G11" s="217">
        <f>main!E12</f>
        <v>269.90000000000003</v>
      </c>
      <c r="H11" s="218">
        <f>main!I12</f>
        <v>31.752941176470593</v>
      </c>
      <c r="I11" s="218">
        <f>main!J12</f>
        <v>11.597761764705885</v>
      </c>
      <c r="J11" s="219">
        <v>1</v>
      </c>
      <c r="K11" s="219">
        <f>main!AF12</f>
        <v>65.517171440981187</v>
      </c>
      <c r="L11" s="219">
        <f>main!AG12</f>
        <v>7.8617804028917284</v>
      </c>
      <c r="M11" s="219">
        <v>1</v>
      </c>
      <c r="N11" s="219">
        <f>main!M12</f>
        <v>15.565558433532715</v>
      </c>
      <c r="O11" s="219">
        <v>1</v>
      </c>
      <c r="P11" s="219">
        <f>main!O12</f>
        <v>1.298827052116394</v>
      </c>
      <c r="Q11" s="219">
        <v>1</v>
      </c>
      <c r="R11" s="219">
        <f>main!AH12</f>
        <v>7.7037780306409864</v>
      </c>
      <c r="S11" s="219">
        <v>1</v>
      </c>
      <c r="T11" s="219">
        <f>main!AB12</f>
        <v>3.7565045903808771</v>
      </c>
      <c r="U11" s="219">
        <v>1</v>
      </c>
      <c r="V11" s="219">
        <f>main!AC12</f>
        <v>8.0358975021711263</v>
      </c>
      <c r="W11" s="219">
        <f t="shared" si="1"/>
        <v>7.5985254586989202</v>
      </c>
      <c r="X11" s="219">
        <f t="shared" si="0"/>
        <v>0.91179056159171712</v>
      </c>
      <c r="Y11" s="219">
        <f t="shared" si="2"/>
        <v>1.8052563844672094</v>
      </c>
      <c r="Z11" s="219">
        <f t="shared" si="3"/>
        <v>0.15063486724001171</v>
      </c>
      <c r="AA11" s="219">
        <f t="shared" si="4"/>
        <v>0.89346582287549237</v>
      </c>
      <c r="AB11" s="219">
        <f t="shared" si="5"/>
        <v>0.93198424795775803</v>
      </c>
      <c r="AC11" s="220">
        <f>main!T12</f>
        <v>44400</v>
      </c>
      <c r="AD11" s="220">
        <f>main!U12</f>
        <v>44417</v>
      </c>
      <c r="AE11" s="220">
        <f>main!V12</f>
        <v>44408.5</v>
      </c>
      <c r="AF11" s="217">
        <f>main!H12</f>
        <v>17</v>
      </c>
      <c r="AG11" s="218">
        <f t="shared" si="6"/>
        <v>0.43567045307261476</v>
      </c>
      <c r="AH11" s="218">
        <f t="shared" si="7"/>
        <v>0.15031277139610402</v>
      </c>
      <c r="AI11" s="218">
        <f t="shared" si="8"/>
        <v>1.075195340756686E-2</v>
      </c>
      <c r="AJ11" s="218">
        <f t="shared" si="9"/>
        <v>7.4393490664070971E-2</v>
      </c>
      <c r="AK11" s="218">
        <f t="shared" si="10"/>
        <v>7.5919280732033065E-2</v>
      </c>
      <c r="AL11" s="218">
        <f t="shared" si="11"/>
        <v>1.5509806090160725E-2</v>
      </c>
      <c r="AM11" s="219">
        <f>depths!$B$2</f>
        <v>1201.9000000000001</v>
      </c>
      <c r="AO11" s="219">
        <f t="shared" si="12"/>
        <v>150.31277139610401</v>
      </c>
      <c r="AP11" s="219">
        <v>1</v>
      </c>
      <c r="AQ11" s="219">
        <f t="shared" si="13"/>
        <v>10.751953407566861</v>
      </c>
      <c r="AR11" s="219">
        <v>1</v>
      </c>
      <c r="AS11" s="219">
        <f t="shared" si="14"/>
        <v>74.393490664070967</v>
      </c>
      <c r="AT11" s="219">
        <v>1</v>
      </c>
      <c r="AU11" s="219">
        <f t="shared" si="15"/>
        <v>75.919280732033059</v>
      </c>
      <c r="AV11" s="219">
        <v>1</v>
      </c>
      <c r="AW11" s="219">
        <f t="shared" si="16"/>
        <v>15.509806090160726</v>
      </c>
      <c r="AX11" s="219">
        <v>1</v>
      </c>
      <c r="AY11" s="219">
        <f t="shared" si="17"/>
        <v>6.9190674330596842</v>
      </c>
      <c r="AZ11" s="219">
        <f t="shared" si="18"/>
        <v>7.060975606405032</v>
      </c>
      <c r="BA11" s="219">
        <f>main!R12</f>
        <v>40.200000000000003</v>
      </c>
      <c r="BB11" s="224">
        <v>3</v>
      </c>
      <c r="BC11" s="219">
        <f>main!S12</f>
        <v>8.39</v>
      </c>
      <c r="BD11" s="224">
        <v>3</v>
      </c>
    </row>
    <row r="12" spans="1:56">
      <c r="A12" s="216">
        <f>main!A13</f>
        <v>2021</v>
      </c>
      <c r="B12" s="216" t="str">
        <f>main!B13</f>
        <v>47_1000</v>
      </c>
      <c r="C12" s="216">
        <v>7</v>
      </c>
      <c r="D12" s="216" t="str">
        <f>main!$B$6</f>
        <v>McLane-PARFLUX-Mark78H-21 ; frame# 2241, controller# 11640-01 and Motor # 11640-01 Cup set Dx21</v>
      </c>
      <c r="E12" s="216">
        <v>1000</v>
      </c>
      <c r="F12" s="216">
        <v>1</v>
      </c>
      <c r="G12" s="217">
        <f>main!E13</f>
        <v>211.95714285714286</v>
      </c>
      <c r="H12" s="218">
        <f>main!I13</f>
        <v>24.936134453781513</v>
      </c>
      <c r="I12" s="218">
        <f>main!J13</f>
        <v>9.1079231092436981</v>
      </c>
      <c r="J12" s="219">
        <v>1</v>
      </c>
      <c r="K12" s="219">
        <f>main!AF13</f>
        <v>65.66783502200586</v>
      </c>
      <c r="L12" s="219">
        <f>main!AG13</f>
        <v>7.8798593883344408</v>
      </c>
      <c r="M12" s="219">
        <v>1</v>
      </c>
      <c r="N12" s="219">
        <f>main!M13</f>
        <v>15.803086280822754</v>
      </c>
      <c r="O12" s="219">
        <v>1</v>
      </c>
      <c r="P12" s="219">
        <f>main!O13</f>
        <v>1.2252254486083984</v>
      </c>
      <c r="Q12" s="219">
        <v>1</v>
      </c>
      <c r="R12" s="219">
        <f>main!AH13</f>
        <v>7.9232268924883131</v>
      </c>
      <c r="S12" s="219">
        <v>1</v>
      </c>
      <c r="T12" s="219">
        <f>main!AB13</f>
        <v>4.1312824461490774</v>
      </c>
      <c r="U12" s="219">
        <v>1</v>
      </c>
      <c r="V12" s="219">
        <f>main!AC13</f>
        <v>8.8376205834495583</v>
      </c>
      <c r="W12" s="219">
        <f t="shared" si="1"/>
        <v>5.9809759213092981</v>
      </c>
      <c r="X12" s="219">
        <f t="shared" si="0"/>
        <v>0.71769153420602172</v>
      </c>
      <c r="Y12" s="219">
        <f t="shared" si="2"/>
        <v>1.439332947344776</v>
      </c>
      <c r="Z12" s="219">
        <f t="shared" si="3"/>
        <v>0.11159259177413909</v>
      </c>
      <c r="AA12" s="219">
        <f t="shared" si="4"/>
        <v>0.72164141313875441</v>
      </c>
      <c r="AB12" s="219">
        <f t="shared" si="5"/>
        <v>0.80492368742728004</v>
      </c>
      <c r="AC12" s="220">
        <f>main!T13</f>
        <v>44417</v>
      </c>
      <c r="AD12" s="220">
        <f>main!U13</f>
        <v>44434</v>
      </c>
      <c r="AE12" s="220">
        <f>main!V13</f>
        <v>44425.5</v>
      </c>
      <c r="AF12" s="217">
        <f>main!H13</f>
        <v>17</v>
      </c>
      <c r="AG12" s="218">
        <f t="shared" si="6"/>
        <v>0.37627402862094017</v>
      </c>
      <c r="AH12" s="218">
        <f t="shared" si="7"/>
        <v>0.11984454182720866</v>
      </c>
      <c r="AI12" s="218">
        <f t="shared" si="8"/>
        <v>7.9652099767408349E-3</v>
      </c>
      <c r="AJ12" s="218">
        <f t="shared" si="9"/>
        <v>6.0086712168089459E-2</v>
      </c>
      <c r="AK12" s="218">
        <f t="shared" si="10"/>
        <v>5.9757829659119209E-2</v>
      </c>
      <c r="AL12" s="218">
        <f t="shared" si="11"/>
        <v>1.3395301837698119E-2</v>
      </c>
      <c r="AM12" s="219">
        <f>depths!$B$2</f>
        <v>1201.9000000000001</v>
      </c>
      <c r="AO12" s="219">
        <f t="shared" si="12"/>
        <v>119.84454182720866</v>
      </c>
      <c r="AP12" s="219">
        <v>1</v>
      </c>
      <c r="AQ12" s="219">
        <f t="shared" si="13"/>
        <v>7.9652099767408346</v>
      </c>
      <c r="AR12" s="219">
        <v>1</v>
      </c>
      <c r="AS12" s="219">
        <f t="shared" si="14"/>
        <v>60.086712168089463</v>
      </c>
      <c r="AT12" s="219">
        <v>1</v>
      </c>
      <c r="AU12" s="219">
        <f t="shared" si="15"/>
        <v>59.75782965911921</v>
      </c>
      <c r="AV12" s="219">
        <v>1</v>
      </c>
      <c r="AW12" s="219">
        <f t="shared" si="16"/>
        <v>13.395301837698119</v>
      </c>
      <c r="AX12" s="219">
        <v>1</v>
      </c>
      <c r="AY12" s="219">
        <f t="shared" si="17"/>
        <v>7.5436444668186198</v>
      </c>
      <c r="AZ12" s="219">
        <f t="shared" si="18"/>
        <v>7.5023545937417486</v>
      </c>
      <c r="BA12" s="219">
        <f>main!R13</f>
        <v>39.86</v>
      </c>
      <c r="BB12" s="224">
        <v>3</v>
      </c>
      <c r="BC12" s="219">
        <f>main!S13</f>
        <v>8.4499999999999993</v>
      </c>
      <c r="BD12" s="224">
        <v>3</v>
      </c>
    </row>
    <row r="13" spans="1:56">
      <c r="A13" s="216">
        <f>main!A14</f>
        <v>2021</v>
      </c>
      <c r="B13" s="216" t="str">
        <f>main!B14</f>
        <v>47_1000</v>
      </c>
      <c r="C13" s="216">
        <v>8</v>
      </c>
      <c r="D13" s="216" t="str">
        <f>main!$B$6</f>
        <v>McLane-PARFLUX-Mark78H-21 ; frame# 2241, controller# 11640-01 and Motor # 11640-01 Cup set Dx21</v>
      </c>
      <c r="E13" s="216">
        <v>1000</v>
      </c>
      <c r="F13" s="216">
        <v>1</v>
      </c>
      <c r="G13" s="217">
        <f>main!E14</f>
        <v>341.81428571428569</v>
      </c>
      <c r="H13" s="218">
        <f>main!I14</f>
        <v>40.213445378151256</v>
      </c>
      <c r="I13" s="218">
        <f>main!J14</f>
        <v>14.687960924369747</v>
      </c>
      <c r="J13" s="219">
        <v>1</v>
      </c>
      <c r="K13" s="219">
        <f>main!AF14</f>
        <v>63.806344296063763</v>
      </c>
      <c r="L13" s="219">
        <f>main!AG14</f>
        <v>7.6564884614842281</v>
      </c>
      <c r="M13" s="219">
        <v>1</v>
      </c>
      <c r="N13" s="219">
        <f>main!M14</f>
        <v>15.173642158508301</v>
      </c>
      <c r="O13" s="219">
        <v>1</v>
      </c>
      <c r="P13" s="219">
        <f>main!O14</f>
        <v>1.0614129304885864</v>
      </c>
      <c r="Q13" s="219">
        <v>1</v>
      </c>
      <c r="R13" s="219">
        <f>main!AH14</f>
        <v>7.5171536970240727</v>
      </c>
      <c r="S13" s="219">
        <v>1</v>
      </c>
      <c r="T13" s="219">
        <f>main!AB14</f>
        <v>4.6401353539620516</v>
      </c>
      <c r="U13" s="219">
        <v>1</v>
      </c>
      <c r="V13" s="219">
        <f>main!AC14</f>
        <v>9.9261564051114171</v>
      </c>
      <c r="W13" s="219">
        <f t="shared" si="1"/>
        <v>9.3718509174746707</v>
      </c>
      <c r="X13" s="219">
        <f t="shared" si="0"/>
        <v>1.1245820334016821</v>
      </c>
      <c r="Y13" s="219">
        <f t="shared" si="2"/>
        <v>2.2286986310453938</v>
      </c>
      <c r="Z13" s="219">
        <f t="shared" si="3"/>
        <v>0.15589991647637141</v>
      </c>
      <c r="AA13" s="219">
        <f t="shared" si="4"/>
        <v>1.1041165976437117</v>
      </c>
      <c r="AB13" s="219">
        <f t="shared" si="5"/>
        <v>1.4579499740745896</v>
      </c>
      <c r="AC13" s="220">
        <f>main!T14</f>
        <v>44434</v>
      </c>
      <c r="AD13" s="220">
        <f>main!U14</f>
        <v>44451</v>
      </c>
      <c r="AE13" s="220">
        <f>main!V14</f>
        <v>44442.5</v>
      </c>
      <c r="AF13" s="217">
        <f>main!H14</f>
        <v>17</v>
      </c>
      <c r="AG13" s="218">
        <f t="shared" si="6"/>
        <v>0.68154126762781198</v>
      </c>
      <c r="AH13" s="218">
        <f t="shared" si="7"/>
        <v>0.18557024405040748</v>
      </c>
      <c r="AI13" s="218">
        <f t="shared" si="8"/>
        <v>1.1127759919798103E-2</v>
      </c>
      <c r="AJ13" s="218">
        <f t="shared" si="9"/>
        <v>9.1933105549018457E-2</v>
      </c>
      <c r="AK13" s="218">
        <f t="shared" si="10"/>
        <v>9.3637138501389022E-2</v>
      </c>
      <c r="AL13" s="218">
        <f t="shared" si="11"/>
        <v>2.4262772076461801E-2</v>
      </c>
      <c r="AM13" s="219">
        <f>depths!$B$2</f>
        <v>1201.9000000000001</v>
      </c>
      <c r="AO13" s="219">
        <f t="shared" si="12"/>
        <v>185.57024405040747</v>
      </c>
      <c r="AP13" s="219">
        <v>1</v>
      </c>
      <c r="AQ13" s="219">
        <f t="shared" si="13"/>
        <v>11.127759919798104</v>
      </c>
      <c r="AR13" s="219">
        <v>1</v>
      </c>
      <c r="AS13" s="219">
        <f t="shared" si="14"/>
        <v>91.93310554901845</v>
      </c>
      <c r="AT13" s="219">
        <v>1</v>
      </c>
      <c r="AU13" s="219">
        <f t="shared" si="15"/>
        <v>93.637138501389018</v>
      </c>
      <c r="AV13" s="219">
        <v>1</v>
      </c>
      <c r="AW13" s="219">
        <f t="shared" si="16"/>
        <v>24.2627720764618</v>
      </c>
      <c r="AX13" s="219">
        <v>1</v>
      </c>
      <c r="AY13" s="219">
        <f t="shared" si="17"/>
        <v>8.2616003770403452</v>
      </c>
      <c r="AZ13" s="219">
        <f t="shared" si="18"/>
        <v>8.4147338886053102</v>
      </c>
      <c r="BA13" s="219">
        <f>main!R14</f>
        <v>39.68</v>
      </c>
      <c r="BB13" s="224">
        <v>3</v>
      </c>
      <c r="BC13" s="219">
        <f>main!S14</f>
        <v>8.41</v>
      </c>
      <c r="BD13" s="224">
        <v>3</v>
      </c>
    </row>
    <row r="14" spans="1:56">
      <c r="A14" s="216">
        <f>main!A15</f>
        <v>2021</v>
      </c>
      <c r="B14" s="216" t="str">
        <f>main!B15</f>
        <v>47_1000</v>
      </c>
      <c r="C14" s="216">
        <v>9</v>
      </c>
      <c r="D14" s="216" t="str">
        <f>main!$B$6</f>
        <v>McLane-PARFLUX-Mark78H-21 ; frame# 2241, controller# 11640-01 and Motor # 11640-01 Cup set Dx21</v>
      </c>
      <c r="E14" s="216">
        <v>1000</v>
      </c>
      <c r="F14" s="216">
        <v>1</v>
      </c>
      <c r="G14" s="217">
        <f>main!E15</f>
        <v>545.68571428571431</v>
      </c>
      <c r="H14" s="218">
        <f>main!I15</f>
        <v>64.198319327731099</v>
      </c>
      <c r="I14" s="218">
        <f>main!J15</f>
        <v>23.448436134453782</v>
      </c>
      <c r="J14" s="219">
        <v>1</v>
      </c>
      <c r="K14" s="219">
        <f>main!AF15</f>
        <v>65.736349840707874</v>
      </c>
      <c r="L14" s="219">
        <f>main!AG15</f>
        <v>7.8880808735898666</v>
      </c>
      <c r="M14" s="219">
        <v>1</v>
      </c>
      <c r="N14" s="219">
        <f>main!M15</f>
        <v>14.787942886352539</v>
      </c>
      <c r="O14" s="219">
        <v>1</v>
      </c>
      <c r="P14" s="219">
        <f>main!O15</f>
        <v>1.0802805423736572</v>
      </c>
      <c r="Q14" s="219">
        <v>1</v>
      </c>
      <c r="R14" s="219">
        <f>main!AH15</f>
        <v>6.8998620127626724</v>
      </c>
      <c r="S14" s="219">
        <v>1</v>
      </c>
      <c r="T14" s="219">
        <f>main!AB15</f>
        <v>4.4787523500081745</v>
      </c>
      <c r="U14" s="219">
        <v>1</v>
      </c>
      <c r="V14" s="219">
        <f>main!AC15</f>
        <v>9.5809266184404134</v>
      </c>
      <c r="W14" s="219">
        <f t="shared" si="1"/>
        <v>15.414146009519497</v>
      </c>
      <c r="X14" s="219">
        <f t="shared" si="0"/>
        <v>1.849631605877784</v>
      </c>
      <c r="Y14" s="219">
        <f t="shared" si="2"/>
        <v>3.4675413433058764</v>
      </c>
      <c r="Z14" s="219">
        <f t="shared" si="3"/>
        <v>0.25330889305141796</v>
      </c>
      <c r="AA14" s="219">
        <f t="shared" si="4"/>
        <v>1.6179097374280926</v>
      </c>
      <c r="AB14" s="219">
        <f t="shared" si="5"/>
        <v>2.2465774592138827</v>
      </c>
      <c r="AC14" s="220">
        <f>main!T15</f>
        <v>44451</v>
      </c>
      <c r="AD14" s="220">
        <f>main!U15</f>
        <v>44468</v>
      </c>
      <c r="AE14" s="220">
        <f>main!V15</f>
        <v>44459.5</v>
      </c>
      <c r="AF14" s="217">
        <f>main!H15</f>
        <v>17</v>
      </c>
      <c r="AG14" s="218">
        <f t="shared" si="6"/>
        <v>1.0501973844120147</v>
      </c>
      <c r="AH14" s="218">
        <f t="shared" si="7"/>
        <v>0.2887211776274668</v>
      </c>
      <c r="AI14" s="218">
        <f t="shared" si="8"/>
        <v>1.8080577662485223E-2</v>
      </c>
      <c r="AJ14" s="218">
        <f t="shared" si="9"/>
        <v>0.1347135501605406</v>
      </c>
      <c r="AK14" s="218">
        <f t="shared" si="10"/>
        <v>0.15400762746692623</v>
      </c>
      <c r="AL14" s="218">
        <f t="shared" si="11"/>
        <v>3.7386877337558376E-2</v>
      </c>
      <c r="AM14" s="219">
        <f>depths!$B$2</f>
        <v>1201.9000000000001</v>
      </c>
      <c r="AO14" s="219">
        <f t="shared" si="12"/>
        <v>288.72117762746677</v>
      </c>
      <c r="AP14" s="219">
        <v>1</v>
      </c>
      <c r="AQ14" s="219">
        <f t="shared" si="13"/>
        <v>18.080577662485222</v>
      </c>
      <c r="AR14" s="219">
        <v>1</v>
      </c>
      <c r="AS14" s="219">
        <f t="shared" si="14"/>
        <v>134.71355016054059</v>
      </c>
      <c r="AT14" s="219">
        <v>1</v>
      </c>
      <c r="AU14" s="219">
        <f t="shared" si="15"/>
        <v>154.00762746692624</v>
      </c>
      <c r="AV14" s="219">
        <v>1</v>
      </c>
      <c r="AW14" s="219">
        <f t="shared" si="16"/>
        <v>37.386877337558374</v>
      </c>
      <c r="AX14" s="219">
        <v>1</v>
      </c>
      <c r="AY14" s="219">
        <f t="shared" si="17"/>
        <v>7.4507326411397337</v>
      </c>
      <c r="AZ14" s="219">
        <f t="shared" si="18"/>
        <v>8.5178488398891954</v>
      </c>
      <c r="BA14" s="219">
        <f>main!R15</f>
        <v>39.17</v>
      </c>
      <c r="BB14" s="224">
        <v>3</v>
      </c>
      <c r="BC14" s="219">
        <f>main!S15</f>
        <v>8.2899999999999991</v>
      </c>
      <c r="BD14" s="224">
        <v>3</v>
      </c>
    </row>
    <row r="15" spans="1:56">
      <c r="A15" s="216">
        <f>main!A16</f>
        <v>2021</v>
      </c>
      <c r="B15" s="216" t="str">
        <f>main!B16</f>
        <v>47_1000</v>
      </c>
      <c r="C15" s="216">
        <v>10</v>
      </c>
      <c r="D15" s="216" t="str">
        <f>main!$B$6</f>
        <v>McLane-PARFLUX-Mark78H-21 ; frame# 2241, controller# 11640-01 and Motor # 11640-01 Cup set Dx21</v>
      </c>
      <c r="E15" s="216">
        <v>1000</v>
      </c>
      <c r="F15" s="216">
        <v>1</v>
      </c>
      <c r="G15" s="217">
        <f>main!E16</f>
        <v>442.28571428571433</v>
      </c>
      <c r="H15" s="218">
        <f>main!I16</f>
        <v>52.033613445378158</v>
      </c>
      <c r="I15" s="218">
        <f>main!J16</f>
        <v>19.005277310924374</v>
      </c>
      <c r="J15" s="219">
        <v>1</v>
      </c>
      <c r="K15" s="219">
        <f>main!AF16</f>
        <v>64.732972644842263</v>
      </c>
      <c r="L15" s="219">
        <f>main!AG16</f>
        <v>7.7676799008117499</v>
      </c>
      <c r="M15" s="219">
        <v>1</v>
      </c>
      <c r="N15" s="219">
        <f>main!M16</f>
        <v>15.11461353302002</v>
      </c>
      <c r="O15" s="219">
        <v>1</v>
      </c>
      <c r="P15" s="219">
        <f>main!O16</f>
        <v>1.1763032674789429</v>
      </c>
      <c r="Q15" s="219">
        <v>1</v>
      </c>
      <c r="R15" s="219">
        <f>main!AH16</f>
        <v>7.3469336322082697</v>
      </c>
      <c r="S15" s="219">
        <v>1</v>
      </c>
      <c r="T15" s="219">
        <f>main!AB16</f>
        <v>4.4350123594416448</v>
      </c>
      <c r="U15" s="219">
        <v>1</v>
      </c>
      <c r="V15" s="219">
        <f>main!AC16</f>
        <v>9.4873582299340846</v>
      </c>
      <c r="W15" s="219">
        <f t="shared" si="1"/>
        <v>12.302680962757089</v>
      </c>
      <c r="X15" s="219">
        <f t="shared" si="0"/>
        <v>1.4762691057742083</v>
      </c>
      <c r="Y15" s="219">
        <f t="shared" si="2"/>
        <v>2.8725742164249586</v>
      </c>
      <c r="Z15" s="219">
        <f t="shared" si="3"/>
        <v>0.22355969800183759</v>
      </c>
      <c r="AA15" s="219">
        <f t="shared" si="4"/>
        <v>1.39630511065075</v>
      </c>
      <c r="AB15" s="219">
        <f t="shared" si="5"/>
        <v>1.8030987410797787</v>
      </c>
      <c r="AC15" s="220">
        <f>main!T16</f>
        <v>44468</v>
      </c>
      <c r="AD15" s="220">
        <f>main!U16</f>
        <v>44485</v>
      </c>
      <c r="AE15" s="220">
        <f>main!V16</f>
        <v>44476.5</v>
      </c>
      <c r="AF15" s="217">
        <f>main!H16</f>
        <v>17</v>
      </c>
      <c r="AG15" s="218">
        <f t="shared" si="6"/>
        <v>0.84288639768565476</v>
      </c>
      <c r="AH15" s="218">
        <f t="shared" si="7"/>
        <v>0.23918186648001322</v>
      </c>
      <c r="AI15" s="218">
        <f t="shared" si="8"/>
        <v>1.5957151891637229E-2</v>
      </c>
      <c r="AJ15" s="218">
        <f t="shared" si="9"/>
        <v>0.11626187432562449</v>
      </c>
      <c r="AK15" s="218">
        <f t="shared" si="10"/>
        <v>0.1229199921543887</v>
      </c>
      <c r="AL15" s="218">
        <f t="shared" si="11"/>
        <v>3.0006635731066385E-2</v>
      </c>
      <c r="AM15" s="219">
        <f>depths!$B$2</f>
        <v>1201.9000000000001</v>
      </c>
      <c r="AO15" s="219">
        <f t="shared" si="12"/>
        <v>239.18186648001321</v>
      </c>
      <c r="AP15" s="219">
        <v>1</v>
      </c>
      <c r="AQ15" s="219">
        <f t="shared" si="13"/>
        <v>15.957151891637229</v>
      </c>
      <c r="AR15" s="219">
        <v>1</v>
      </c>
      <c r="AS15" s="219">
        <f t="shared" si="14"/>
        <v>116.26187432562449</v>
      </c>
      <c r="AT15" s="219">
        <v>1</v>
      </c>
      <c r="AU15" s="219">
        <f t="shared" si="15"/>
        <v>122.91999215438871</v>
      </c>
      <c r="AV15" s="219">
        <v>1</v>
      </c>
      <c r="AW15" s="219">
        <f t="shared" si="16"/>
        <v>30.006635731066385</v>
      </c>
      <c r="AX15" s="219">
        <v>1</v>
      </c>
      <c r="AY15" s="219">
        <f t="shared" si="17"/>
        <v>7.2858787780640615</v>
      </c>
      <c r="AZ15" s="219">
        <f t="shared" si="18"/>
        <v>7.7031285400503213</v>
      </c>
      <c r="BA15" s="219">
        <f>main!R16</f>
        <v>39.39</v>
      </c>
      <c r="BB15" s="224">
        <v>3</v>
      </c>
      <c r="BC15" s="219">
        <f>main!S16</f>
        <v>8.39</v>
      </c>
      <c r="BD15" s="224">
        <v>3</v>
      </c>
    </row>
    <row r="16" spans="1:56">
      <c r="A16" s="216">
        <f>main!A17</f>
        <v>2021</v>
      </c>
      <c r="B16" s="216" t="str">
        <f>main!B17</f>
        <v>47_1000</v>
      </c>
      <c r="C16" s="216">
        <v>11</v>
      </c>
      <c r="D16" s="216" t="str">
        <f>main!$B$6</f>
        <v>McLane-PARFLUX-Mark78H-21 ; frame# 2241, controller# 11640-01 and Motor # 11640-01 Cup set Dx21</v>
      </c>
      <c r="E16" s="216">
        <v>1000</v>
      </c>
      <c r="F16" s="216">
        <v>1</v>
      </c>
      <c r="G16" s="217">
        <f>main!E17</f>
        <v>709.81428571428569</v>
      </c>
      <c r="H16" s="218">
        <f>main!I17</f>
        <v>83.507563025210075</v>
      </c>
      <c r="I16" s="218">
        <f>main!J17</f>
        <v>30.501137394957983</v>
      </c>
      <c r="J16" s="219">
        <v>1</v>
      </c>
      <c r="K16" s="219">
        <f>main!AF17</f>
        <v>70.426733387976356</v>
      </c>
      <c r="L16" s="219">
        <f>main!AG17</f>
        <v>8.4509068418503919</v>
      </c>
      <c r="M16" s="219">
        <v>1</v>
      </c>
      <c r="N16" s="219">
        <f>main!M17</f>
        <v>14.714103698730469</v>
      </c>
      <c r="O16" s="219">
        <v>1</v>
      </c>
      <c r="P16" s="219">
        <f>main!O17</f>
        <v>0.9054645299911499</v>
      </c>
      <c r="Q16" s="219">
        <v>1</v>
      </c>
      <c r="R16" s="219">
        <f>main!AH17</f>
        <v>6.2631968568800769</v>
      </c>
      <c r="S16" s="219">
        <v>1</v>
      </c>
      <c r="T16" s="219">
        <f>main!AB17</f>
        <v>4.0382413123801513</v>
      </c>
      <c r="U16" s="219">
        <v>1</v>
      </c>
      <c r="V16" s="219">
        <f>main!AC17</f>
        <v>8.6385874140592129</v>
      </c>
      <c r="W16" s="219">
        <f t="shared" si="1"/>
        <v>21.480954713447417</v>
      </c>
      <c r="X16" s="219">
        <f t="shared" si="0"/>
        <v>2.5776227069526927</v>
      </c>
      <c r="Y16" s="219">
        <f t="shared" si="2"/>
        <v>4.4879689855863747</v>
      </c>
      <c r="Z16" s="219">
        <f t="shared" si="3"/>
        <v>0.27617698035521115</v>
      </c>
      <c r="AA16" s="219">
        <f t="shared" si="4"/>
        <v>1.910346278633682</v>
      </c>
      <c r="AB16" s="219">
        <f t="shared" si="5"/>
        <v>2.6348674161457484</v>
      </c>
      <c r="AC16" s="220">
        <f>main!T17</f>
        <v>44485</v>
      </c>
      <c r="AD16" s="220">
        <f>main!U17</f>
        <v>44502</v>
      </c>
      <c r="AE16" s="220">
        <f>main!V17</f>
        <v>44493.5</v>
      </c>
      <c r="AF16" s="217">
        <f>main!H17</f>
        <v>17</v>
      </c>
      <c r="AG16" s="218">
        <f t="shared" si="6"/>
        <v>1.2317095310290243</v>
      </c>
      <c r="AH16" s="218">
        <f t="shared" si="7"/>
        <v>0.37368601045681721</v>
      </c>
      <c r="AI16" s="218">
        <f t="shared" si="8"/>
        <v>1.9712846563541126E-2</v>
      </c>
      <c r="AJ16" s="218">
        <f t="shared" si="9"/>
        <v>0.15906297074385362</v>
      </c>
      <c r="AK16" s="218">
        <f t="shared" si="10"/>
        <v>0.21462303971296359</v>
      </c>
      <c r="AL16" s="218">
        <f t="shared" si="11"/>
        <v>4.3848683909897622E-2</v>
      </c>
      <c r="AM16" s="219">
        <f>depths!$B$2</f>
        <v>1201.9000000000001</v>
      </c>
      <c r="AO16" s="219">
        <f t="shared" si="12"/>
        <v>373.6860104568172</v>
      </c>
      <c r="AP16" s="219">
        <v>1</v>
      </c>
      <c r="AQ16" s="219">
        <f t="shared" si="13"/>
        <v>19.712846563541127</v>
      </c>
      <c r="AR16" s="219">
        <v>1</v>
      </c>
      <c r="AS16" s="219">
        <f t="shared" si="14"/>
        <v>159.06297074385361</v>
      </c>
      <c r="AT16" s="219">
        <v>1</v>
      </c>
      <c r="AU16" s="219">
        <f t="shared" si="15"/>
        <v>214.62303971296359</v>
      </c>
      <c r="AV16" s="219">
        <v>1</v>
      </c>
      <c r="AW16" s="219">
        <f t="shared" si="16"/>
        <v>43.848683909897623</v>
      </c>
      <c r="AX16" s="219">
        <v>1</v>
      </c>
      <c r="AY16" s="219">
        <f t="shared" si="17"/>
        <v>8.0690005997429246</v>
      </c>
      <c r="AZ16" s="219">
        <f t="shared" si="18"/>
        <v>10.887470717187465</v>
      </c>
      <c r="BA16" s="219">
        <f>main!R17</f>
        <v>39.54</v>
      </c>
      <c r="BB16" s="224">
        <v>3</v>
      </c>
      <c r="BC16" s="219">
        <f>main!S17</f>
        <v>8.2899999999999991</v>
      </c>
      <c r="BD16" s="224">
        <v>3</v>
      </c>
    </row>
    <row r="17" spans="1:56">
      <c r="A17" s="216">
        <f>main!A18</f>
        <v>2021</v>
      </c>
      <c r="B17" s="216" t="str">
        <f>main!B18</f>
        <v>47_1000</v>
      </c>
      <c r="C17" s="216">
        <v>12</v>
      </c>
      <c r="D17" s="216" t="str">
        <f>main!$B$6</f>
        <v>McLane-PARFLUX-Mark78H-21 ; frame# 2241, controller# 11640-01 and Motor # 11640-01 Cup set Dx21</v>
      </c>
      <c r="E17" s="216">
        <v>1000</v>
      </c>
      <c r="F17" s="216">
        <v>1</v>
      </c>
      <c r="G17" s="217">
        <f>main!E18</f>
        <v>856.17142857142858</v>
      </c>
      <c r="H17" s="218">
        <f>main!I18</f>
        <v>100.72605042016806</v>
      </c>
      <c r="I17" s="218">
        <f>main!J18</f>
        <v>36.790189915966387</v>
      </c>
      <c r="J17" s="219">
        <v>1</v>
      </c>
      <c r="K17" s="219">
        <f>main!AF18</f>
        <v>70.183909385582183</v>
      </c>
      <c r="L17" s="219">
        <f>main!AG18</f>
        <v>8.4217689999474654</v>
      </c>
      <c r="M17" s="219">
        <v>1</v>
      </c>
      <c r="N17" s="219">
        <f>main!M18</f>
        <v>14.692148208618164</v>
      </c>
      <c r="O17" s="219">
        <v>1</v>
      </c>
      <c r="P17" s="219">
        <f>main!O18</f>
        <v>0.9205707311630249</v>
      </c>
      <c r="Q17" s="219">
        <v>1</v>
      </c>
      <c r="R17" s="219">
        <f>main!AH18</f>
        <v>6.2703792086706986</v>
      </c>
      <c r="S17" s="219">
        <v>1</v>
      </c>
      <c r="T17" s="219">
        <f>main!AB18</f>
        <v>4.1026918216284525</v>
      </c>
      <c r="U17" s="219">
        <v>1</v>
      </c>
      <c r="V17" s="219">
        <f>main!AC18</f>
        <v>8.7764596497562746</v>
      </c>
      <c r="W17" s="219">
        <f t="shared" si="1"/>
        <v>25.820793553405444</v>
      </c>
      <c r="X17" s="219">
        <f t="shared" si="0"/>
        <v>3.0983848093646555</v>
      </c>
      <c r="Y17" s="219">
        <f t="shared" si="2"/>
        <v>5.4052692286858761</v>
      </c>
      <c r="Z17" s="219">
        <f t="shared" si="3"/>
        <v>0.33867972030567728</v>
      </c>
      <c r="AA17" s="219">
        <f t="shared" si="4"/>
        <v>2.3068844193212201</v>
      </c>
      <c r="AB17" s="219">
        <f t="shared" si="5"/>
        <v>3.2288761730434916</v>
      </c>
      <c r="AC17" s="220">
        <f>main!T18</f>
        <v>44502</v>
      </c>
      <c r="AD17" s="220">
        <f>main!U18</f>
        <v>44519</v>
      </c>
      <c r="AE17" s="220">
        <f>main!V18</f>
        <v>44510.5</v>
      </c>
      <c r="AF17" s="217">
        <f>main!H18</f>
        <v>17</v>
      </c>
      <c r="AG17" s="218">
        <f t="shared" si="6"/>
        <v>1.5093881128439286</v>
      </c>
      <c r="AH17" s="218">
        <f t="shared" si="7"/>
        <v>0.45006404901630942</v>
      </c>
      <c r="AI17" s="218">
        <f t="shared" si="8"/>
        <v>2.4174141349441635E-2</v>
      </c>
      <c r="AJ17" s="218">
        <f t="shared" si="9"/>
        <v>0.1920803013589692</v>
      </c>
      <c r="AK17" s="218">
        <f t="shared" si="10"/>
        <v>0.25798374765734017</v>
      </c>
      <c r="AL17" s="218">
        <f t="shared" si="11"/>
        <v>5.373400188123633E-2</v>
      </c>
      <c r="AM17" s="219">
        <f>depths!$B$2</f>
        <v>1201.9000000000001</v>
      </c>
      <c r="AO17" s="219">
        <f t="shared" si="12"/>
        <v>450.06404901630941</v>
      </c>
      <c r="AP17" s="219">
        <v>1</v>
      </c>
      <c r="AQ17" s="219">
        <f t="shared" si="13"/>
        <v>24.174141349441634</v>
      </c>
      <c r="AR17" s="219">
        <v>1</v>
      </c>
      <c r="AS17" s="219">
        <f t="shared" si="14"/>
        <v>192.08030135896919</v>
      </c>
      <c r="AT17" s="219">
        <v>1</v>
      </c>
      <c r="AU17" s="219">
        <f t="shared" si="15"/>
        <v>257.98374765734019</v>
      </c>
      <c r="AV17" s="219">
        <v>1</v>
      </c>
      <c r="AW17" s="219">
        <f t="shared" si="16"/>
        <v>53.734001881236331</v>
      </c>
      <c r="AX17" s="219">
        <v>1</v>
      </c>
      <c r="AY17" s="219">
        <f t="shared" si="17"/>
        <v>7.9456928203741892</v>
      </c>
      <c r="AZ17" s="219">
        <f t="shared" si="18"/>
        <v>10.671888772723628</v>
      </c>
      <c r="BA17" s="219">
        <f>main!R18</f>
        <v>39.56</v>
      </c>
      <c r="BB17" s="224">
        <v>3</v>
      </c>
      <c r="BC17" s="219">
        <f>main!S18</f>
        <v>8.27</v>
      </c>
      <c r="BD17" s="224">
        <v>3</v>
      </c>
    </row>
    <row r="18" spans="1:56">
      <c r="A18" s="216">
        <f>main!A19</f>
        <v>2021</v>
      </c>
      <c r="B18" s="216" t="str">
        <f>main!B19</f>
        <v>47_1000</v>
      </c>
      <c r="C18" s="216">
        <v>13</v>
      </c>
      <c r="D18" s="216" t="str">
        <f>main!$B$6</f>
        <v>McLane-PARFLUX-Mark78H-21 ; frame# 2241, controller# 11640-01 and Motor # 11640-01 Cup set Dx21</v>
      </c>
      <c r="E18" s="216">
        <v>1000</v>
      </c>
      <c r="F18" s="216">
        <v>1</v>
      </c>
      <c r="G18" s="217">
        <f>main!E19</f>
        <v>952.97142857142853</v>
      </c>
      <c r="H18" s="218">
        <f>main!I19</f>
        <v>112.11428571428571</v>
      </c>
      <c r="I18" s="218">
        <f>main!J19</f>
        <v>40.949742857142859</v>
      </c>
      <c r="J18" s="219">
        <v>1</v>
      </c>
      <c r="K18" s="219">
        <f>main!AF19</f>
        <v>70.841903670914732</v>
      </c>
      <c r="L18" s="219">
        <f>main!AG19</f>
        <v>8.5007255004169959</v>
      </c>
      <c r="M18" s="219">
        <v>1</v>
      </c>
      <c r="N18" s="219">
        <f>main!M19</f>
        <v>13.898073196411133</v>
      </c>
      <c r="O18" s="219">
        <v>1</v>
      </c>
      <c r="P18" s="219">
        <f>main!O19</f>
        <v>0.75366872549057007</v>
      </c>
      <c r="Q18" s="219">
        <v>1</v>
      </c>
      <c r="R18" s="219">
        <f>main!AH19</f>
        <v>5.3973476959941369</v>
      </c>
      <c r="S18" s="219">
        <v>1</v>
      </c>
      <c r="T18" s="219">
        <f>main!AB19</f>
        <v>4.9123722366108593</v>
      </c>
      <c r="U18" s="219">
        <v>1</v>
      </c>
      <c r="V18" s="219">
        <f>main!AC19</f>
        <v>10.508524303949681</v>
      </c>
      <c r="W18" s="219">
        <f t="shared" si="1"/>
        <v>29.009577388344429</v>
      </c>
      <c r="X18" s="219">
        <f t="shared" si="0"/>
        <v>3.4810252334123302</v>
      </c>
      <c r="Y18" s="219">
        <f t="shared" si="2"/>
        <v>5.6912252360278535</v>
      </c>
      <c r="Z18" s="219">
        <f t="shared" si="3"/>
        <v>0.30862540508309433</v>
      </c>
      <c r="AA18" s="219">
        <f t="shared" si="4"/>
        <v>2.2102000026155237</v>
      </c>
      <c r="AB18" s="219">
        <f t="shared" si="5"/>
        <v>4.3032136805477554</v>
      </c>
      <c r="AC18" s="220">
        <f>main!T19</f>
        <v>44519</v>
      </c>
      <c r="AD18" s="220">
        <f>main!U19</f>
        <v>44536</v>
      </c>
      <c r="AE18" s="220">
        <f>main!V19</f>
        <v>44527.5</v>
      </c>
      <c r="AF18" s="217">
        <f>main!H19</f>
        <v>17</v>
      </c>
      <c r="AG18" s="218">
        <f t="shared" si="6"/>
        <v>2.0116037990778244</v>
      </c>
      <c r="AH18" s="218">
        <f t="shared" si="7"/>
        <v>0.47387387477334336</v>
      </c>
      <c r="AI18" s="218">
        <f t="shared" si="8"/>
        <v>2.202893683676619E-2</v>
      </c>
      <c r="AJ18" s="218">
        <f t="shared" si="9"/>
        <v>0.18402997523859482</v>
      </c>
      <c r="AK18" s="218">
        <f t="shared" si="10"/>
        <v>0.28984389953474854</v>
      </c>
      <c r="AL18" s="218">
        <f t="shared" si="11"/>
        <v>7.1612808795935359E-2</v>
      </c>
      <c r="AM18" s="219">
        <f>depths!$B$2</f>
        <v>1201.9000000000001</v>
      </c>
      <c r="AO18" s="219">
        <f t="shared" si="12"/>
        <v>473.87387477334335</v>
      </c>
      <c r="AP18" s="219">
        <v>1</v>
      </c>
      <c r="AQ18" s="219">
        <f t="shared" si="13"/>
        <v>22.028936836766189</v>
      </c>
      <c r="AR18" s="219">
        <v>1</v>
      </c>
      <c r="AS18" s="219">
        <f t="shared" si="14"/>
        <v>184.02997523859483</v>
      </c>
      <c r="AT18" s="219">
        <v>1</v>
      </c>
      <c r="AU18" s="219">
        <f t="shared" si="15"/>
        <v>289.84389953474852</v>
      </c>
      <c r="AV18" s="219">
        <v>1</v>
      </c>
      <c r="AW18" s="219">
        <f t="shared" si="16"/>
        <v>71.612808795935365</v>
      </c>
      <c r="AX18" s="219">
        <v>1</v>
      </c>
      <c r="AY18" s="219">
        <f t="shared" si="17"/>
        <v>8.354010754229849</v>
      </c>
      <c r="AZ18" s="219">
        <f t="shared" si="18"/>
        <v>13.157416614450518</v>
      </c>
      <c r="BA18" s="219">
        <f>main!R19</f>
        <v>39.83</v>
      </c>
      <c r="BB18" s="224">
        <v>3</v>
      </c>
      <c r="BC18" s="219">
        <f>main!S19</f>
        <v>8.2799999999999994</v>
      </c>
      <c r="BD18" s="224">
        <v>3</v>
      </c>
    </row>
    <row r="19" spans="1:56">
      <c r="A19" s="216">
        <f>main!A20</f>
        <v>2021</v>
      </c>
      <c r="B19" s="216" t="str">
        <f>main!B20</f>
        <v>47_1000</v>
      </c>
      <c r="C19" s="216">
        <v>14</v>
      </c>
      <c r="D19" s="216" t="str">
        <f>main!$B$6</f>
        <v>McLane-PARFLUX-Mark78H-21 ; frame# 2241, controller# 11640-01 and Motor # 11640-01 Cup set Dx21</v>
      </c>
      <c r="E19" s="216">
        <v>1000</v>
      </c>
      <c r="F19" s="216">
        <v>1</v>
      </c>
      <c r="G19" s="217">
        <f>main!E20</f>
        <v>799.78571428571422</v>
      </c>
      <c r="H19" s="218">
        <f>main!I20</f>
        <v>94.092436974789905</v>
      </c>
      <c r="I19" s="218">
        <f>main!J20</f>
        <v>34.367262605042015</v>
      </c>
      <c r="J19" s="219">
        <v>1</v>
      </c>
      <c r="K19" s="219">
        <f>main!AF20</f>
        <v>67.377102513891231</v>
      </c>
      <c r="L19" s="219">
        <f>main!AG20</f>
        <v>8.0849641780476134</v>
      </c>
      <c r="M19" s="219">
        <v>1</v>
      </c>
      <c r="N19" s="219">
        <f>main!M20</f>
        <v>12.57647705078125</v>
      </c>
      <c r="O19" s="219">
        <v>1</v>
      </c>
      <c r="P19" s="219">
        <f>main!O20</f>
        <v>0.63573765754699707</v>
      </c>
      <c r="Q19" s="219">
        <v>1</v>
      </c>
      <c r="R19" s="219">
        <f>main!AH20</f>
        <v>4.4915128727336366</v>
      </c>
      <c r="S19" s="219">
        <v>1</v>
      </c>
      <c r="T19" s="219">
        <f>main!AB20</f>
        <v>7.8465837775509435</v>
      </c>
      <c r="U19" s="219">
        <v>1</v>
      </c>
      <c r="V19" s="219">
        <f>main!AC20</f>
        <v>16.785376261767045</v>
      </c>
      <c r="W19" s="219">
        <f t="shared" si="1"/>
        <v>23.155665756617363</v>
      </c>
      <c r="X19" s="219">
        <f t="shared" si="0"/>
        <v>2.7785808705931996</v>
      </c>
      <c r="Y19" s="219">
        <f t="shared" si="2"/>
        <v>4.3221908945048355</v>
      </c>
      <c r="Z19" s="219">
        <f t="shared" si="3"/>
        <v>0.21848563024831918</v>
      </c>
      <c r="AA19" s="219">
        <f t="shared" si="4"/>
        <v>1.5436100239116353</v>
      </c>
      <c r="AB19" s="219">
        <f t="shared" si="5"/>
        <v>5.768674339125865</v>
      </c>
      <c r="AC19" s="220">
        <f>main!T20</f>
        <v>44536</v>
      </c>
      <c r="AD19" s="220">
        <f>main!U20</f>
        <v>44553</v>
      </c>
      <c r="AE19" s="220">
        <f>main!V20</f>
        <v>44544.5</v>
      </c>
      <c r="AF19" s="217">
        <f>main!H20</f>
        <v>17</v>
      </c>
      <c r="AG19" s="218">
        <f t="shared" si="6"/>
        <v>2.6966560523555585</v>
      </c>
      <c r="AH19" s="218">
        <f t="shared" si="7"/>
        <v>0.35988267231514037</v>
      </c>
      <c r="AI19" s="218">
        <f t="shared" si="8"/>
        <v>1.5594977176896445E-2</v>
      </c>
      <c r="AJ19" s="218">
        <f t="shared" si="9"/>
        <v>0.12852706277365822</v>
      </c>
      <c r="AK19" s="218">
        <f t="shared" si="10"/>
        <v>0.23135560954148207</v>
      </c>
      <c r="AL19" s="218">
        <f t="shared" si="11"/>
        <v>9.6000571461572037E-2</v>
      </c>
      <c r="AM19" s="219">
        <f>depths!$B$2</f>
        <v>1201.9000000000001</v>
      </c>
      <c r="AO19" s="219">
        <f t="shared" si="12"/>
        <v>359.88267231514038</v>
      </c>
      <c r="AP19" s="219">
        <v>1</v>
      </c>
      <c r="AQ19" s="219">
        <f t="shared" si="13"/>
        <v>15.594977176896444</v>
      </c>
      <c r="AR19" s="219">
        <v>1</v>
      </c>
      <c r="AS19" s="219">
        <f t="shared" si="14"/>
        <v>128.52706277365823</v>
      </c>
      <c r="AT19" s="219">
        <v>1</v>
      </c>
      <c r="AU19" s="219">
        <f t="shared" si="15"/>
        <v>231.35560954148207</v>
      </c>
      <c r="AV19" s="219">
        <v>1</v>
      </c>
      <c r="AW19" s="219">
        <f t="shared" si="16"/>
        <v>96.000571461572036</v>
      </c>
      <c r="AX19" s="219">
        <v>1</v>
      </c>
      <c r="AY19" s="219">
        <f t="shared" si="17"/>
        <v>8.2415678660990768</v>
      </c>
      <c r="AZ19" s="219">
        <f t="shared" si="18"/>
        <v>14.835264387833117</v>
      </c>
      <c r="BA19" s="219">
        <f>main!R20</f>
        <v>39.880000000000003</v>
      </c>
      <c r="BB19" s="224">
        <v>3</v>
      </c>
      <c r="BC19" s="219">
        <f>main!S20</f>
        <v>8.25</v>
      </c>
      <c r="BD19" s="224">
        <v>3</v>
      </c>
    </row>
    <row r="20" spans="1:56">
      <c r="A20" s="216">
        <f>main!A21</f>
        <v>2021</v>
      </c>
      <c r="B20" s="216" t="str">
        <f>main!B21</f>
        <v>47_1000</v>
      </c>
      <c r="C20" s="216">
        <v>15</v>
      </c>
      <c r="D20" s="216" t="str">
        <f>main!$B$6</f>
        <v>McLane-PARFLUX-Mark78H-21 ; frame# 2241, controller# 11640-01 and Motor # 11640-01 Cup set Dx21</v>
      </c>
      <c r="E20" s="216">
        <v>1000</v>
      </c>
      <c r="F20" s="216">
        <v>1</v>
      </c>
      <c r="G20" s="217">
        <f>main!E21</f>
        <v>1020.6428571428571</v>
      </c>
      <c r="H20" s="218">
        <f>main!I21</f>
        <v>120.07563025210084</v>
      </c>
      <c r="I20" s="218">
        <f>main!J21</f>
        <v>43.857623949579832</v>
      </c>
      <c r="J20" s="219">
        <v>1</v>
      </c>
      <c r="K20" s="219">
        <f>main!AF21</f>
        <v>56.313374554336235</v>
      </c>
      <c r="L20" s="219">
        <f>main!AG21</f>
        <v>6.7573641345428639</v>
      </c>
      <c r="M20" s="219">
        <v>1</v>
      </c>
      <c r="N20" s="219">
        <f>main!M21</f>
        <v>12.243984222412109</v>
      </c>
      <c r="O20" s="219">
        <v>1</v>
      </c>
      <c r="P20" s="219">
        <f>main!O21</f>
        <v>0.80138421058654785</v>
      </c>
      <c r="Q20" s="219">
        <v>1</v>
      </c>
      <c r="R20" s="219">
        <f>main!AH21</f>
        <v>5.4866200878692455</v>
      </c>
      <c r="S20" s="219">
        <v>1</v>
      </c>
      <c r="T20" s="219">
        <f>main!AB21</f>
        <v>11.229417824822235</v>
      </c>
      <c r="U20" s="219">
        <v>1</v>
      </c>
      <c r="V20" s="219">
        <f>main!AC21</f>
        <v>24.021919440853264</v>
      </c>
      <c r="W20" s="219">
        <f t="shared" si="1"/>
        <v>24.697708045359164</v>
      </c>
      <c r="X20" s="219">
        <f t="shared" si="0"/>
        <v>2.9636193510315887</v>
      </c>
      <c r="Y20" s="219">
        <f t="shared" si="2"/>
        <v>5.3699205567113895</v>
      </c>
      <c r="Z20" s="219">
        <f t="shared" si="3"/>
        <v>0.35146807347035708</v>
      </c>
      <c r="AA20" s="219">
        <f t="shared" si="4"/>
        <v>2.4063012056798003</v>
      </c>
      <c r="AB20" s="219">
        <f t="shared" si="5"/>
        <v>10.535443093840435</v>
      </c>
      <c r="AC20" s="220">
        <f>main!T21</f>
        <v>44553</v>
      </c>
      <c r="AD20" s="220">
        <f>main!U21</f>
        <v>44570</v>
      </c>
      <c r="AE20" s="220">
        <f>main!V21</f>
        <v>44561.5</v>
      </c>
      <c r="AF20" s="217">
        <f>main!H21</f>
        <v>17</v>
      </c>
      <c r="AG20" s="218">
        <f t="shared" si="6"/>
        <v>4.9249558413376233</v>
      </c>
      <c r="AH20" s="218">
        <f t="shared" si="7"/>
        <v>0.44712077907671854</v>
      </c>
      <c r="AI20" s="218">
        <f t="shared" si="8"/>
        <v>2.5086943145635768E-2</v>
      </c>
      <c r="AJ20" s="218">
        <f t="shared" si="9"/>
        <v>0.20035813536051628</v>
      </c>
      <c r="AK20" s="218">
        <f t="shared" si="10"/>
        <v>0.24676264371620224</v>
      </c>
      <c r="AL20" s="218">
        <f t="shared" si="11"/>
        <v>0.17532772664071283</v>
      </c>
      <c r="AM20" s="219">
        <f>depths!$B$2</f>
        <v>1201.9000000000001</v>
      </c>
      <c r="AO20" s="219">
        <f t="shared" si="12"/>
        <v>447.12077907671852</v>
      </c>
      <c r="AP20" s="219">
        <v>1</v>
      </c>
      <c r="AQ20" s="219">
        <f t="shared" si="13"/>
        <v>25.086943145635768</v>
      </c>
      <c r="AR20" s="219">
        <v>1</v>
      </c>
      <c r="AS20" s="219">
        <f t="shared" si="14"/>
        <v>200.35813536051629</v>
      </c>
      <c r="AT20" s="219">
        <v>1</v>
      </c>
      <c r="AU20" s="219">
        <f t="shared" si="15"/>
        <v>246.76264371620223</v>
      </c>
      <c r="AV20" s="219">
        <v>1</v>
      </c>
      <c r="AW20" s="219">
        <f t="shared" si="16"/>
        <v>175.32772664071283</v>
      </c>
      <c r="AX20" s="219">
        <v>1</v>
      </c>
      <c r="AY20" s="219">
        <f t="shared" si="17"/>
        <v>7.9865503819014094</v>
      </c>
      <c r="AZ20" s="219">
        <f t="shared" si="18"/>
        <v>9.8362978017562934</v>
      </c>
      <c r="BA20" s="219">
        <f>main!R21</f>
        <v>39.67</v>
      </c>
      <c r="BB20" s="224">
        <v>3</v>
      </c>
      <c r="BC20" s="219">
        <f>main!S21</f>
        <v>8.17</v>
      </c>
      <c r="BD20" s="224">
        <v>3</v>
      </c>
    </row>
    <row r="21" spans="1:56" s="36" customFormat="1">
      <c r="A21" s="36">
        <f>main!A22</f>
        <v>2021</v>
      </c>
      <c r="B21" s="36" t="str">
        <f>main!B22</f>
        <v>47_1000</v>
      </c>
      <c r="C21" s="36">
        <v>16</v>
      </c>
      <c r="D21" s="36" t="str">
        <f>main!$B$6</f>
        <v>McLane-PARFLUX-Mark78H-21 ; frame# 2241, controller# 11640-01 and Motor # 11640-01 Cup set Dx21</v>
      </c>
      <c r="E21" s="36">
        <v>1000</v>
      </c>
      <c r="F21" s="36">
        <v>1</v>
      </c>
      <c r="G21" s="493">
        <f>main!E22</f>
        <v>1866.1142857142859</v>
      </c>
      <c r="H21" s="257">
        <f>main!I22</f>
        <v>219.54285714285717</v>
      </c>
      <c r="I21" s="257">
        <f>main!J22</f>
        <v>80.188028571428589</v>
      </c>
      <c r="J21" s="259">
        <v>3</v>
      </c>
      <c r="K21" s="259">
        <f>main!AF22</f>
        <v>37.557174270931618</v>
      </c>
      <c r="L21" s="259">
        <f>main!AG22</f>
        <v>4.5067003073717808</v>
      </c>
      <c r="M21" s="259">
        <v>1</v>
      </c>
      <c r="N21" s="259">
        <f>main!M22</f>
        <v>14.159707069396973</v>
      </c>
      <c r="O21" s="259">
        <v>1</v>
      </c>
      <c r="P21" s="259">
        <f>main!O22</f>
        <v>1.3837199807167053</v>
      </c>
      <c r="Q21" s="259">
        <v>1</v>
      </c>
      <c r="R21" s="259">
        <f>main!AH22</f>
        <v>9.6530067620251927</v>
      </c>
      <c r="S21" s="259">
        <v>1</v>
      </c>
      <c r="T21" s="259">
        <f>main!AB22</f>
        <v>14.925933185228955</v>
      </c>
      <c r="U21" s="259">
        <v>2</v>
      </c>
      <c r="V21" s="259">
        <f>main!AC22</f>
        <v>31.929488255621497</v>
      </c>
      <c r="W21" s="259">
        <f t="shared" si="1"/>
        <v>30.116357634995875</v>
      </c>
      <c r="X21" s="259">
        <f t="shared" si="0"/>
        <v>3.6138341301039438</v>
      </c>
      <c r="Y21" s="259">
        <f t="shared" si="2"/>
        <v>11.354389950438639</v>
      </c>
      <c r="Z21" s="259">
        <f t="shared" si="3"/>
        <v>1.1095777734856778</v>
      </c>
      <c r="AA21" s="259">
        <f t="shared" si="4"/>
        <v>7.7405558203346958</v>
      </c>
      <c r="AB21" s="259">
        <f t="shared" si="5"/>
        <v>25.603627165128703</v>
      </c>
      <c r="AC21" s="494">
        <f>main!T22</f>
        <v>44570</v>
      </c>
      <c r="AD21" s="494">
        <f>main!U22</f>
        <v>44587</v>
      </c>
      <c r="AE21" s="494">
        <f>main!V22</f>
        <v>44578.5</v>
      </c>
      <c r="AF21" s="493">
        <f>main!H22</f>
        <v>17</v>
      </c>
      <c r="AG21" s="257">
        <f>(T21/100)*$I21</f>
        <v>11.968811567123735</v>
      </c>
      <c r="AH21" s="257">
        <f t="shared" si="7"/>
        <v>0.9454113197700782</v>
      </c>
      <c r="AI21" s="257">
        <f t="shared" si="8"/>
        <v>7.9198984545730031E-2</v>
      </c>
      <c r="AJ21" s="257">
        <f t="shared" si="9"/>
        <v>0.64450922733844263</v>
      </c>
      <c r="AK21" s="257">
        <f t="shared" si="10"/>
        <v>0.30090209243163563</v>
      </c>
      <c r="AL21" s="257">
        <f t="shared" si="11"/>
        <v>0.42608798743765525</v>
      </c>
      <c r="AM21" s="259">
        <f>depths!$B$2</f>
        <v>1201.9000000000001</v>
      </c>
      <c r="AO21" s="259">
        <f t="shared" si="12"/>
        <v>945.41131977007819</v>
      </c>
      <c r="AP21" s="259">
        <v>3</v>
      </c>
      <c r="AQ21" s="259">
        <f t="shared" si="13"/>
        <v>79.198984545730028</v>
      </c>
      <c r="AR21" s="259">
        <v>3</v>
      </c>
      <c r="AS21" s="259">
        <f t="shared" si="14"/>
        <v>644.50922733844266</v>
      </c>
      <c r="AT21" s="259">
        <v>3</v>
      </c>
      <c r="AU21" s="259">
        <f t="shared" si="15"/>
        <v>300.90209243163565</v>
      </c>
      <c r="AV21" s="259">
        <v>3</v>
      </c>
      <c r="AW21" s="259">
        <f t="shared" si="16"/>
        <v>426.08798743765527</v>
      </c>
      <c r="AX21" s="259">
        <v>3</v>
      </c>
      <c r="AY21" s="259">
        <f t="shared" si="17"/>
        <v>8.137847107955011</v>
      </c>
      <c r="AZ21" s="259">
        <f t="shared" si="18"/>
        <v>3.7993175563746369</v>
      </c>
      <c r="BA21" s="259">
        <f>main!R22</f>
        <v>38.92</v>
      </c>
      <c r="BB21" s="224">
        <v>3</v>
      </c>
      <c r="BC21" s="259">
        <f>main!S22</f>
        <v>8.14</v>
      </c>
      <c r="BD21" s="224">
        <v>3</v>
      </c>
    </row>
    <row r="22" spans="1:56">
      <c r="A22" s="216">
        <f>main!A23</f>
        <v>2021</v>
      </c>
      <c r="B22" s="216" t="str">
        <f>main!B23</f>
        <v>47_1000</v>
      </c>
      <c r="C22" s="216">
        <v>17</v>
      </c>
      <c r="D22" s="216" t="str">
        <f>main!$B$6</f>
        <v>McLane-PARFLUX-Mark78H-21 ; frame# 2241, controller# 11640-01 and Motor # 11640-01 Cup set Dx21</v>
      </c>
      <c r="E22" s="216">
        <v>1000</v>
      </c>
      <c r="F22" s="216">
        <v>1</v>
      </c>
      <c r="G22" s="217">
        <f>main!E23</f>
        <v>622.42857142857144</v>
      </c>
      <c r="H22" s="218">
        <f>main!I23</f>
        <v>73.226890756302524</v>
      </c>
      <c r="I22" s="218">
        <f>main!J23</f>
        <v>26.746121848739499</v>
      </c>
      <c r="J22" s="219">
        <v>1</v>
      </c>
      <c r="K22" s="219">
        <f>main!AF23</f>
        <v>42.62105690215796</v>
      </c>
      <c r="L22" s="219">
        <f>main!AG23</f>
        <v>5.1143445685191278</v>
      </c>
      <c r="M22" s="219">
        <v>1</v>
      </c>
      <c r="N22" s="219">
        <f>main!M23</f>
        <v>14.98511791229248</v>
      </c>
      <c r="O22" s="219">
        <v>1</v>
      </c>
      <c r="P22" s="219">
        <f>main!O23</f>
        <v>1.5582642555236816</v>
      </c>
      <c r="Q22" s="219">
        <v>1</v>
      </c>
      <c r="R22" s="219">
        <f>main!AH23</f>
        <v>9.8707733437733527</v>
      </c>
      <c r="S22" s="219">
        <v>1</v>
      </c>
      <c r="T22" s="219">
        <f>main!AB23</f>
        <v>11.083044806517311</v>
      </c>
      <c r="U22" s="219">
        <v>1</v>
      </c>
      <c r="V22" s="219">
        <f>main!AC23</f>
        <v>23.70879894708527</v>
      </c>
      <c r="W22" s="219">
        <f t="shared" ref="W22" si="19">(K22/100)*$I22</f>
        <v>11.399479812271764</v>
      </c>
      <c r="X22" s="219">
        <f t="shared" ref="X22" si="20">(L22/100)*$I22</f>
        <v>1.3678888300605161</v>
      </c>
      <c r="Y22" s="219">
        <f t="shared" ref="Y22" si="21">(N22/100)*$I22</f>
        <v>4.0079378959990359</v>
      </c>
      <c r="Z22" s="219">
        <f t="shared" ref="Z22" si="22">(P22/100)*$I22</f>
        <v>0.4167752565077173</v>
      </c>
      <c r="AA22" s="219">
        <f t="shared" ref="AA22" si="23">(R22/100)*$I22</f>
        <v>2.640049065938519</v>
      </c>
      <c r="AB22" s="219">
        <f t="shared" ref="AB22" si="24">(V22/100)*$I22</f>
        <v>6.3411842552600941</v>
      </c>
      <c r="AC22" s="220">
        <f>main!T23</f>
        <v>44587</v>
      </c>
      <c r="AD22" s="220">
        <f>main!U23</f>
        <v>44604</v>
      </c>
      <c r="AE22" s="220">
        <f>main!V23</f>
        <v>44595.5</v>
      </c>
      <c r="AF22" s="217">
        <f>main!H23</f>
        <v>17</v>
      </c>
      <c r="AG22" s="218">
        <f>(T22/100)*$I22</f>
        <v>2.9642846685015152</v>
      </c>
      <c r="AH22" s="218">
        <f t="shared" ref="AH22" si="25">Y22/12.01</f>
        <v>0.33371672739375818</v>
      </c>
      <c r="AI22" s="218">
        <f t="shared" ref="AI22" si="26">Z22/14.01</f>
        <v>2.9748412313184674E-2</v>
      </c>
      <c r="AJ22" s="218">
        <f t="shared" ref="AJ22" si="27">AA22/12.01</f>
        <v>0.2198209047409258</v>
      </c>
      <c r="AK22" s="218">
        <f t="shared" ref="AK22" si="28">X22/12.01</f>
        <v>0.11389582265283231</v>
      </c>
      <c r="AL22" s="218">
        <f t="shared" ref="AL22" si="29">AG22/28.09</f>
        <v>0.10552811208620559</v>
      </c>
      <c r="AM22" s="219">
        <f>depths!$B$2</f>
        <v>1201.9000000000001</v>
      </c>
      <c r="AO22" s="219">
        <f t="shared" si="12"/>
        <v>333.71672739375816</v>
      </c>
      <c r="AP22" s="219">
        <v>1</v>
      </c>
      <c r="AQ22" s="219">
        <f t="shared" si="13"/>
        <v>29.748412313184673</v>
      </c>
      <c r="AR22" s="219">
        <v>1</v>
      </c>
      <c r="AS22" s="219">
        <f>AJ22*1000</f>
        <v>219.82090474092581</v>
      </c>
      <c r="AT22" s="219">
        <v>1</v>
      </c>
      <c r="AU22" s="219">
        <f t="shared" si="15"/>
        <v>113.89582265283231</v>
      </c>
      <c r="AV22" s="219">
        <v>1</v>
      </c>
      <c r="AW22" s="219">
        <f t="shared" si="16"/>
        <v>105.5281120862056</v>
      </c>
      <c r="AX22" s="219">
        <v>1</v>
      </c>
      <c r="AY22" s="219">
        <f t="shared" si="17"/>
        <v>7.3893323255943946</v>
      </c>
      <c r="AZ22" s="219">
        <f t="shared" si="18"/>
        <v>3.8286353387119423</v>
      </c>
      <c r="BA22" s="219">
        <f>main!R23</f>
        <v>39.07</v>
      </c>
      <c r="BB22" s="224">
        <v>3</v>
      </c>
      <c r="BC22" s="219">
        <f>main!S23</f>
        <v>8.19</v>
      </c>
      <c r="BD22" s="224">
        <v>3</v>
      </c>
    </row>
    <row r="23" spans="1:56">
      <c r="A23" s="216">
        <f>main!A24</f>
        <v>2021</v>
      </c>
      <c r="B23" s="216" t="str">
        <f>main!B24</f>
        <v>47_1000</v>
      </c>
      <c r="C23" s="216">
        <v>18</v>
      </c>
      <c r="D23" s="216" t="str">
        <f>main!$B$6</f>
        <v>McLane-PARFLUX-Mark78H-21 ; frame# 2241, controller# 11640-01 and Motor # 11640-01 Cup set Dx21</v>
      </c>
      <c r="E23" s="216">
        <v>1000</v>
      </c>
      <c r="F23" s="216">
        <v>1</v>
      </c>
      <c r="G23" s="217">
        <f>main!E24</f>
        <v>465.55714285714294</v>
      </c>
      <c r="H23" s="218">
        <f>main!I24</f>
        <v>54.771428571428579</v>
      </c>
      <c r="I23" s="218">
        <f>main!J24</f>
        <v>20.00526428571429</v>
      </c>
      <c r="J23" s="219">
        <v>1</v>
      </c>
      <c r="K23" s="219">
        <f>main!AF24</f>
        <v>47.74398125145629</v>
      </c>
      <c r="L23" s="219">
        <f>main!AG24</f>
        <v>5.7290735833559649</v>
      </c>
      <c r="M23" s="219">
        <v>1</v>
      </c>
      <c r="N23" s="219">
        <f>main!M24</f>
        <v>18.895536422729492</v>
      </c>
      <c r="O23" s="219">
        <v>1</v>
      </c>
      <c r="P23" s="219">
        <f>main!O24</f>
        <v>1.912310004234314</v>
      </c>
      <c r="Q23" s="219">
        <v>1</v>
      </c>
      <c r="R23" s="219">
        <f>main!AH24</f>
        <v>13.166462839373526</v>
      </c>
      <c r="S23" s="219">
        <v>1</v>
      </c>
      <c r="T23" s="219">
        <f>main!AB24</f>
        <v>7.4116710596261184</v>
      </c>
      <c r="U23" s="219">
        <v>1</v>
      </c>
      <c r="V23" s="219">
        <f>main!AC24</f>
        <v>15.8550129573846</v>
      </c>
      <c r="W23" s="219">
        <f t="shared" si="1"/>
        <v>9.5513096298757123</v>
      </c>
      <c r="X23" s="219">
        <f t="shared" si="0"/>
        <v>1.1461163114734028</v>
      </c>
      <c r="Y23" s="219">
        <f t="shared" si="2"/>
        <v>3.7801019995704386</v>
      </c>
      <c r="Z23" s="219">
        <f t="shared" si="3"/>
        <v>0.38256267030922864</v>
      </c>
      <c r="AA23" s="219">
        <f t="shared" si="4"/>
        <v>2.6339856880970358</v>
      </c>
      <c r="AB23" s="219">
        <f t="shared" si="5"/>
        <v>3.1718372446590348</v>
      </c>
      <c r="AC23" s="220">
        <f>main!T24</f>
        <v>44604</v>
      </c>
      <c r="AD23" s="220">
        <f>main!U24</f>
        <v>44621</v>
      </c>
      <c r="AE23" s="220">
        <f>main!V24</f>
        <v>44612.5</v>
      </c>
      <c r="AF23" s="217">
        <f>main!H24</f>
        <v>17</v>
      </c>
      <c r="AG23" s="218">
        <f t="shared" si="6"/>
        <v>1.4827243834660058</v>
      </c>
      <c r="AH23" s="218">
        <f t="shared" si="7"/>
        <v>0.3147462114546577</v>
      </c>
      <c r="AI23" s="218">
        <f t="shared" si="8"/>
        <v>2.7306400450337519E-2</v>
      </c>
      <c r="AJ23" s="218">
        <f t="shared" si="9"/>
        <v>0.21931604397144344</v>
      </c>
      <c r="AK23" s="218">
        <f t="shared" si="10"/>
        <v>9.5430167483214215E-2</v>
      </c>
      <c r="AL23" s="218">
        <f t="shared" si="11"/>
        <v>5.2784776912282158E-2</v>
      </c>
      <c r="AM23" s="219">
        <f>depths!$B$2</f>
        <v>1201.9000000000001</v>
      </c>
      <c r="AO23" s="219">
        <f t="shared" si="12"/>
        <v>314.74621145465773</v>
      </c>
      <c r="AP23" s="219">
        <v>1</v>
      </c>
      <c r="AQ23" s="219">
        <f t="shared" si="13"/>
        <v>27.30640045033752</v>
      </c>
      <c r="AR23" s="219">
        <v>1</v>
      </c>
      <c r="AS23" s="219">
        <f t="shared" si="14"/>
        <v>219.31604397144343</v>
      </c>
      <c r="AT23" s="219">
        <v>1</v>
      </c>
      <c r="AU23" s="219">
        <f t="shared" si="15"/>
        <v>95.43016748321422</v>
      </c>
      <c r="AV23" s="219">
        <v>1</v>
      </c>
      <c r="AW23" s="219">
        <f t="shared" si="16"/>
        <v>52.784776912282155</v>
      </c>
      <c r="AX23" s="219">
        <v>1</v>
      </c>
      <c r="AY23" s="219">
        <f t="shared" si="17"/>
        <v>8.0316717089942404</v>
      </c>
      <c r="AZ23" s="219">
        <f t="shared" si="18"/>
        <v>3.4947911811655374</v>
      </c>
      <c r="BA23" s="219">
        <f>main!R24</f>
        <v>39.54</v>
      </c>
      <c r="BB23" s="224">
        <v>3</v>
      </c>
      <c r="BC23" s="219">
        <f>main!S24</f>
        <v>8.23</v>
      </c>
      <c r="BD23" s="224">
        <v>3</v>
      </c>
    </row>
    <row r="24" spans="1:56">
      <c r="A24" s="216">
        <f>main!A25</f>
        <v>2021</v>
      </c>
      <c r="B24" s="216" t="str">
        <f>main!B25</f>
        <v>47_1000</v>
      </c>
      <c r="C24" s="216">
        <v>19</v>
      </c>
      <c r="D24" s="216" t="str">
        <f>main!$B$6</f>
        <v>McLane-PARFLUX-Mark78H-21 ; frame# 2241, controller# 11640-01 and Motor # 11640-01 Cup set Dx21</v>
      </c>
      <c r="E24" s="216">
        <v>1000</v>
      </c>
      <c r="F24" s="216">
        <v>1</v>
      </c>
      <c r="G24" s="217">
        <f>main!E25</f>
        <v>189.17142857142861</v>
      </c>
      <c r="H24" s="218">
        <f>main!I25</f>
        <v>22.255462184873952</v>
      </c>
      <c r="I24" s="218">
        <f>main!J25</f>
        <v>8.1288075630252123</v>
      </c>
      <c r="J24" s="219">
        <v>1</v>
      </c>
      <c r="K24" s="219">
        <f>main!AF25</f>
        <v>56.061492699040805</v>
      </c>
      <c r="L24" s="219">
        <f>main!AG25</f>
        <v>6.727139389025738</v>
      </c>
      <c r="M24" s="219">
        <v>1</v>
      </c>
      <c r="N24" s="219">
        <f>main!M25</f>
        <v>16.420463562011719</v>
      </c>
      <c r="O24" s="219">
        <v>1</v>
      </c>
      <c r="P24" s="219">
        <f>main!O25</f>
        <v>1.5423842668533325</v>
      </c>
      <c r="Q24" s="219">
        <v>1</v>
      </c>
      <c r="R24" s="219">
        <f>main!AH25</f>
        <v>9.6933241729859816</v>
      </c>
      <c r="S24" s="219">
        <v>1</v>
      </c>
      <c r="T24" s="219">
        <f>main!AB25</f>
        <v>7.067502912904164</v>
      </c>
      <c r="U24" s="219">
        <v>1</v>
      </c>
      <c r="V24" s="219">
        <f>main!AC25</f>
        <v>15.118770026216138</v>
      </c>
      <c r="W24" s="219">
        <f t="shared" si="1"/>
        <v>4.5571308584644559</v>
      </c>
      <c r="X24" s="219">
        <f t="shared" si="0"/>
        <v>0.54683621543037231</v>
      </c>
      <c r="Y24" s="219">
        <f t="shared" si="2"/>
        <v>1.3347878839126079</v>
      </c>
      <c r="Z24" s="219">
        <f t="shared" si="3"/>
        <v>0.12537744893488467</v>
      </c>
      <c r="AA24" s="219">
        <f t="shared" si="4"/>
        <v>0.78795166848223563</v>
      </c>
      <c r="AB24" s="219">
        <f t="shared" si="5"/>
        <v>1.2289757213274464</v>
      </c>
      <c r="AC24" s="220">
        <f>main!T25</f>
        <v>44621</v>
      </c>
      <c r="AD24" s="220">
        <f>main!U25</f>
        <v>44638</v>
      </c>
      <c r="AE24" s="220">
        <f>main!V25</f>
        <v>44629.5</v>
      </c>
      <c r="AF24" s="217">
        <f>main!H25</f>
        <v>17</v>
      </c>
      <c r="AG24" s="218">
        <f t="shared" si="6"/>
        <v>0.57450371130118083</v>
      </c>
      <c r="AH24" s="218">
        <f t="shared" si="7"/>
        <v>0.11113970723668676</v>
      </c>
      <c r="AI24" s="218">
        <f t="shared" si="8"/>
        <v>8.9491398240460155E-3</v>
      </c>
      <c r="AJ24" s="218">
        <f t="shared" si="9"/>
        <v>6.5607965735406795E-2</v>
      </c>
      <c r="AK24" s="218">
        <f t="shared" si="10"/>
        <v>4.5531741501279963E-2</v>
      </c>
      <c r="AL24" s="218">
        <f t="shared" si="11"/>
        <v>2.0452250313320784E-2</v>
      </c>
      <c r="AM24" s="219">
        <f>depths!$B$2</f>
        <v>1201.9000000000001</v>
      </c>
      <c r="AO24" s="219">
        <f t="shared" si="12"/>
        <v>111.13970723668676</v>
      </c>
      <c r="AP24" s="219">
        <v>1</v>
      </c>
      <c r="AQ24" s="219">
        <f t="shared" si="13"/>
        <v>8.949139824046016</v>
      </c>
      <c r="AR24" s="219">
        <v>1</v>
      </c>
      <c r="AS24" s="219">
        <f t="shared" si="14"/>
        <v>65.607965735406793</v>
      </c>
      <c r="AT24" s="219">
        <v>1</v>
      </c>
      <c r="AU24" s="219">
        <f t="shared" si="15"/>
        <v>45.53174150127996</v>
      </c>
      <c r="AV24" s="219">
        <v>1</v>
      </c>
      <c r="AW24" s="219">
        <f t="shared" si="16"/>
        <v>20.452250313320786</v>
      </c>
      <c r="AX24" s="219">
        <v>1</v>
      </c>
      <c r="AY24" s="219">
        <f t="shared" si="17"/>
        <v>7.3312035598237673</v>
      </c>
      <c r="AZ24" s="219">
        <f t="shared" si="18"/>
        <v>5.0878344060440099</v>
      </c>
      <c r="BA24" s="219">
        <f>main!R25</f>
        <v>39.97</v>
      </c>
      <c r="BB24" s="224">
        <v>3</v>
      </c>
      <c r="BC24" s="219">
        <f>main!S25</f>
        <v>8.42</v>
      </c>
      <c r="BD24" s="224">
        <v>3</v>
      </c>
    </row>
    <row r="25" spans="1:56">
      <c r="A25" s="216">
        <f>main!A26</f>
        <v>2021</v>
      </c>
      <c r="B25" s="216" t="str">
        <f>main!B26</f>
        <v>47_1000</v>
      </c>
      <c r="C25" s="216">
        <v>20</v>
      </c>
      <c r="D25" s="216" t="str">
        <f>main!$B$6</f>
        <v>McLane-PARFLUX-Mark78H-21 ; frame# 2241, controller# 11640-01 and Motor # 11640-01 Cup set Dx21</v>
      </c>
      <c r="E25" s="216">
        <v>1000</v>
      </c>
      <c r="F25" s="216">
        <v>1</v>
      </c>
      <c r="G25" s="217">
        <f>main!E26</f>
        <v>96.399999999999991</v>
      </c>
      <c r="H25" s="218">
        <f>main!I26</f>
        <v>11.341176470588234</v>
      </c>
      <c r="I25" s="218">
        <f>main!J26</f>
        <v>4.1423647058823523</v>
      </c>
      <c r="J25" s="219">
        <v>1</v>
      </c>
      <c r="K25" s="219">
        <f>main!AF26</f>
        <v>59.674762426616525</v>
      </c>
      <c r="L25" s="219">
        <f>main!AG26</f>
        <v>7.1607163049676279</v>
      </c>
      <c r="M25" s="219">
        <v>1</v>
      </c>
      <c r="N25" s="219">
        <f>main!M26</f>
        <v>16.273431777954102</v>
      </c>
      <c r="O25" s="219">
        <v>1</v>
      </c>
      <c r="P25" s="219">
        <f>main!O26</f>
        <v>1.5127736330032349</v>
      </c>
      <c r="Q25" s="219">
        <v>1</v>
      </c>
      <c r="R25" s="219">
        <f>main!AH26</f>
        <v>9.1127154729864728</v>
      </c>
      <c r="S25" s="219">
        <v>1</v>
      </c>
      <c r="T25" s="219">
        <f>main!AB26</f>
        <v>6.2376017764618794</v>
      </c>
      <c r="U25" s="219">
        <v>1</v>
      </c>
      <c r="V25" s="219">
        <f>main!AC26</f>
        <v>13.343449296817173</v>
      </c>
      <c r="W25" s="219">
        <f t="shared" si="1"/>
        <v>2.471946297079306</v>
      </c>
      <c r="X25" s="219">
        <f t="shared" si="0"/>
        <v>0.29662298490534195</v>
      </c>
      <c r="Y25" s="219">
        <f t="shared" si="2"/>
        <v>0.67410489440581367</v>
      </c>
      <c r="Z25" s="219">
        <f t="shared" si="3"/>
        <v>6.2664601053420227E-2</v>
      </c>
      <c r="AA25" s="219">
        <f t="shared" si="4"/>
        <v>0.37748190950047172</v>
      </c>
      <c r="AB25" s="219">
        <f t="shared" si="5"/>
        <v>0.55273433421866147</v>
      </c>
      <c r="AC25" s="220">
        <f>main!T26</f>
        <v>44638</v>
      </c>
      <c r="AD25" s="220">
        <f>main!U26</f>
        <v>44655</v>
      </c>
      <c r="AE25" s="220">
        <f>main!V26</f>
        <v>44646.5</v>
      </c>
      <c r="AF25" s="217">
        <f>main!H26</f>
        <v>17</v>
      </c>
      <c r="AG25" s="218">
        <f t="shared" si="6"/>
        <v>0.2583842144816475</v>
      </c>
      <c r="AH25" s="218">
        <f t="shared" si="7"/>
        <v>5.6128634005479905E-2</v>
      </c>
      <c r="AI25" s="218">
        <f t="shared" si="8"/>
        <v>4.4728480409293525E-3</v>
      </c>
      <c r="AJ25" s="218">
        <f t="shared" si="9"/>
        <v>3.1430633597041777E-2</v>
      </c>
      <c r="AK25" s="218">
        <f t="shared" si="10"/>
        <v>2.4698000408438132E-2</v>
      </c>
      <c r="AL25" s="218">
        <f t="shared" si="11"/>
        <v>9.1984412417816831E-3</v>
      </c>
      <c r="AM25" s="219">
        <f>depths!$B$2</f>
        <v>1201.9000000000001</v>
      </c>
      <c r="AO25" s="219">
        <f t="shared" si="12"/>
        <v>56.128634005479903</v>
      </c>
      <c r="AP25" s="219">
        <v>1</v>
      </c>
      <c r="AQ25" s="219">
        <f t="shared" si="13"/>
        <v>4.4728480409293523</v>
      </c>
      <c r="AR25" s="219">
        <v>1</v>
      </c>
      <c r="AS25" s="219">
        <f t="shared" si="14"/>
        <v>31.430633597041776</v>
      </c>
      <c r="AT25" s="219">
        <v>1</v>
      </c>
      <c r="AU25" s="219">
        <f t="shared" si="15"/>
        <v>24.698000408438133</v>
      </c>
      <c r="AV25" s="219">
        <v>1</v>
      </c>
      <c r="AW25" s="219">
        <f t="shared" si="16"/>
        <v>9.1984412417816834</v>
      </c>
      <c r="AX25" s="219">
        <v>1</v>
      </c>
      <c r="AY25" s="219">
        <f t="shared" si="17"/>
        <v>7.0269844424473744</v>
      </c>
      <c r="AZ25" s="219">
        <f t="shared" si="18"/>
        <v>5.521761567224285</v>
      </c>
      <c r="BA25" s="219">
        <f>main!R26</f>
        <v>39.57</v>
      </c>
      <c r="BB25" s="224">
        <v>3</v>
      </c>
      <c r="BC25" s="219">
        <f>main!S26</f>
        <v>8.49</v>
      </c>
      <c r="BD25" s="224">
        <v>3</v>
      </c>
    </row>
    <row r="26" spans="1:56" s="221" customFormat="1">
      <c r="A26" s="216">
        <f>main!A27</f>
        <v>2021</v>
      </c>
      <c r="B26" s="216" t="str">
        <f>main!B27</f>
        <v>47_1000</v>
      </c>
      <c r="C26" s="216">
        <v>21</v>
      </c>
      <c r="D26" s="216" t="str">
        <f>main!$B$6</f>
        <v>McLane-PARFLUX-Mark78H-21 ; frame# 2241, controller# 11640-01 and Motor # 11640-01 Cup set Dx21</v>
      </c>
      <c r="E26" s="221">
        <v>1000</v>
      </c>
      <c r="F26" s="216">
        <v>1</v>
      </c>
      <c r="G26" s="217">
        <f>main!E27</f>
        <v>205.2285714285714</v>
      </c>
      <c r="H26" s="218">
        <f>main!I27</f>
        <v>24.144537815126046</v>
      </c>
      <c r="I26" s="218">
        <f>main!J27</f>
        <v>8.818792436974789</v>
      </c>
      <c r="J26" s="223">
        <v>1</v>
      </c>
      <c r="K26" s="219">
        <f>main!AF27</f>
        <v>56.73544332240391</v>
      </c>
      <c r="L26" s="219">
        <f>main!AG27</f>
        <v>6.808010581825104</v>
      </c>
      <c r="M26" s="223">
        <v>1</v>
      </c>
      <c r="N26" s="219">
        <f>main!M27</f>
        <v>19.774139404296875</v>
      </c>
      <c r="O26" s="223">
        <v>1</v>
      </c>
      <c r="P26" s="219">
        <f>main!O27</f>
        <v>2.2612068653106689</v>
      </c>
      <c r="Q26" s="223">
        <v>1</v>
      </c>
      <c r="R26" s="219">
        <f>main!AH27</f>
        <v>12.96612882247177</v>
      </c>
      <c r="S26" s="223">
        <v>1</v>
      </c>
      <c r="T26" s="219">
        <f>main!AB27</f>
        <v>4.5762021298382143</v>
      </c>
      <c r="U26" s="223">
        <v>1</v>
      </c>
      <c r="V26" s="219">
        <f>main!AC27</f>
        <v>9.7893907433954546</v>
      </c>
      <c r="W26" s="223">
        <f t="shared" si="1"/>
        <v>5.0033809848002742</v>
      </c>
      <c r="X26" s="223">
        <f t="shared" si="0"/>
        <v>0.60038432229843564</v>
      </c>
      <c r="Y26" s="223">
        <f t="shared" si="2"/>
        <v>1.7438403102629845</v>
      </c>
      <c r="Z26" s="223">
        <f t="shared" si="3"/>
        <v>0.19941114002237198</v>
      </c>
      <c r="AA26" s="223">
        <f t="shared" si="4"/>
        <v>1.1434559879645487</v>
      </c>
      <c r="AB26" s="223">
        <f t="shared" si="5"/>
        <v>0.8633060505044684</v>
      </c>
      <c r="AC26" s="220">
        <f>main!T27</f>
        <v>44655</v>
      </c>
      <c r="AD26" s="220">
        <f>main!U27</f>
        <v>44672</v>
      </c>
      <c r="AE26" s="220">
        <f>main!V27</f>
        <v>44663.5</v>
      </c>
      <c r="AF26" s="217">
        <f>main!H27</f>
        <v>17</v>
      </c>
      <c r="AG26" s="222">
        <f t="shared" si="6"/>
        <v>0.40356576732685168</v>
      </c>
      <c r="AH26" s="222">
        <f t="shared" si="7"/>
        <v>0.14519902666636009</v>
      </c>
      <c r="AI26" s="222">
        <f t="shared" si="8"/>
        <v>1.4233486082967308E-2</v>
      </c>
      <c r="AJ26" s="222">
        <f t="shared" si="9"/>
        <v>9.5208658448338784E-2</v>
      </c>
      <c r="AK26" s="222">
        <f t="shared" si="10"/>
        <v>4.9990368218021289E-2</v>
      </c>
      <c r="AL26" s="222">
        <f t="shared" si="11"/>
        <v>1.4366883849300523E-2</v>
      </c>
      <c r="AM26" s="219">
        <f>depths!$B$2</f>
        <v>1201.9000000000001</v>
      </c>
      <c r="AO26" s="223">
        <f t="shared" si="12"/>
        <v>145.19902666636008</v>
      </c>
      <c r="AP26" s="223">
        <v>1</v>
      </c>
      <c r="AQ26" s="223">
        <f t="shared" si="13"/>
        <v>14.233486082967309</v>
      </c>
      <c r="AR26" s="223">
        <v>1</v>
      </c>
      <c r="AS26" s="223">
        <f t="shared" si="14"/>
        <v>95.208658448338781</v>
      </c>
      <c r="AT26" s="223">
        <v>1</v>
      </c>
      <c r="AU26" s="223">
        <f t="shared" si="15"/>
        <v>49.990368218021288</v>
      </c>
      <c r="AV26" s="223">
        <v>1</v>
      </c>
      <c r="AW26" s="223">
        <f t="shared" si="16"/>
        <v>14.366883849300523</v>
      </c>
      <c r="AX26" s="223">
        <v>1</v>
      </c>
      <c r="AY26" s="223">
        <f t="shared" si="17"/>
        <v>6.6890611262318576</v>
      </c>
      <c r="AZ26" s="223">
        <f t="shared" si="18"/>
        <v>3.5121661641165289</v>
      </c>
      <c r="BA26" s="219">
        <f>main!R27</f>
        <v>39.31</v>
      </c>
      <c r="BB26" s="224">
        <v>3</v>
      </c>
      <c r="BC26" s="219">
        <f>main!S27</f>
        <v>8.49</v>
      </c>
      <c r="BD26" s="224">
        <v>3</v>
      </c>
    </row>
    <row r="27" spans="1:56">
      <c r="A27" s="216">
        <f>main!A31</f>
        <v>2021</v>
      </c>
      <c r="B27" s="216" t="str">
        <f>main!B31</f>
        <v>47_2000</v>
      </c>
      <c r="C27" s="216">
        <v>1</v>
      </c>
      <c r="D27" s="216" t="str">
        <f>main!$B$30</f>
        <v>McLane-PARFLUX-Mark78H-21 ; frame# 14182, funnel# 874, controller# 11741-01 and Motor # 14182-02 Cup set Ex21</v>
      </c>
      <c r="E27" s="216">
        <v>2000</v>
      </c>
      <c r="F27" s="216">
        <v>1</v>
      </c>
      <c r="G27" s="217">
        <f>main!E31</f>
        <v>572.28571428571433</v>
      </c>
      <c r="H27" s="218">
        <f>main!I31</f>
        <v>67.327731092436977</v>
      </c>
      <c r="I27" s="218">
        <f>main!J31</f>
        <v>24.591453781512609</v>
      </c>
      <c r="J27" s="219">
        <v>1</v>
      </c>
      <c r="K27" s="219">
        <f>main!AF31</f>
        <v>65.628843420356105</v>
      </c>
      <c r="L27" s="219">
        <f>main!AG31</f>
        <v>7.87518056287563</v>
      </c>
      <c r="M27" s="219">
        <v>1</v>
      </c>
      <c r="N27" s="219">
        <f>main!M31</f>
        <v>14.033336639404297</v>
      </c>
      <c r="O27" s="219">
        <v>1</v>
      </c>
      <c r="P27" s="219">
        <f>main!O31</f>
        <v>0.90838140249252319</v>
      </c>
      <c r="Q27" s="219">
        <v>1</v>
      </c>
      <c r="R27" s="219">
        <f>main!AH31</f>
        <v>6.1581560765286669</v>
      </c>
      <c r="S27" s="219">
        <v>1</v>
      </c>
      <c r="T27" s="219">
        <f>main!AB31</f>
        <v>4.3784849403405213</v>
      </c>
      <c r="U27" s="219">
        <v>1</v>
      </c>
      <c r="V27" s="219">
        <f>main!AC31</f>
        <v>9.3664350325760761</v>
      </c>
      <c r="W27" s="219">
        <f t="shared" si="1"/>
        <v>16.139086697058151</v>
      </c>
      <c r="X27" s="219">
        <f t="shared" si="0"/>
        <v>1.9366213883302252</v>
      </c>
      <c r="Y27" s="219">
        <f t="shared" si="2"/>
        <v>3.4510014936831825</v>
      </c>
      <c r="Z27" s="219">
        <f t="shared" si="3"/>
        <v>0.22338419275380483</v>
      </c>
      <c r="AA27" s="219">
        <f t="shared" si="4"/>
        <v>1.5143801053529573</v>
      </c>
      <c r="AB27" s="219">
        <f t="shared" si="5"/>
        <v>2.3033425420113511</v>
      </c>
      <c r="AC27" s="220">
        <f>main!T31</f>
        <v>44315</v>
      </c>
      <c r="AD27" s="220">
        <f>main!U31</f>
        <v>44332</v>
      </c>
      <c r="AE27" s="220">
        <f>main!V31</f>
        <v>44323.5</v>
      </c>
      <c r="AF27" s="217">
        <f>main!H31</f>
        <v>17</v>
      </c>
      <c r="AG27" s="218">
        <f t="shared" si="6"/>
        <v>1.0767331004343292</v>
      </c>
      <c r="AH27" s="218">
        <f t="shared" si="7"/>
        <v>0.28734400446987368</v>
      </c>
      <c r="AI27" s="218">
        <f t="shared" si="8"/>
        <v>1.5944624750450023E-2</v>
      </c>
      <c r="AJ27" s="218">
        <f t="shared" si="9"/>
        <v>0.12609326439241944</v>
      </c>
      <c r="AK27" s="218">
        <f t="shared" si="10"/>
        <v>0.16125074007745424</v>
      </c>
      <c r="AL27" s="218">
        <f t="shared" si="11"/>
        <v>3.8331545049281927E-2</v>
      </c>
      <c r="AM27" s="219">
        <f>depths!$B$3</f>
        <v>2207.9</v>
      </c>
      <c r="AO27" s="219">
        <f t="shared" si="12"/>
        <v>287.34400446987371</v>
      </c>
      <c r="AP27" s="219">
        <v>1</v>
      </c>
      <c r="AQ27" s="219">
        <f t="shared" si="13"/>
        <v>15.944624750450023</v>
      </c>
      <c r="AR27" s="219">
        <v>1</v>
      </c>
      <c r="AS27" s="219">
        <f t="shared" si="14"/>
        <v>126.09326439241944</v>
      </c>
      <c r="AT27" s="219">
        <v>1</v>
      </c>
      <c r="AU27" s="219">
        <f t="shared" si="15"/>
        <v>161.25074007745425</v>
      </c>
      <c r="AV27" s="219">
        <v>1</v>
      </c>
      <c r="AW27" s="219">
        <f t="shared" si="16"/>
        <v>38.331545049281928</v>
      </c>
      <c r="AX27" s="219">
        <v>1</v>
      </c>
      <c r="AY27" s="219">
        <f t="shared" si="17"/>
        <v>7.9081989301040512</v>
      </c>
      <c r="AZ27" s="219">
        <f t="shared" si="18"/>
        <v>10.113172470421613</v>
      </c>
      <c r="BA27" s="219">
        <f>main!R31</f>
        <v>39.979999999999997</v>
      </c>
      <c r="BB27" s="219">
        <v>1</v>
      </c>
      <c r="BC27" s="219">
        <f>main!S31</f>
        <v>8.5399999999999991</v>
      </c>
      <c r="BD27" s="219">
        <v>1</v>
      </c>
    </row>
    <row r="28" spans="1:56">
      <c r="A28" s="216">
        <f>main!A32</f>
        <v>2021</v>
      </c>
      <c r="B28" s="216" t="str">
        <f>main!B32</f>
        <v>47_2000</v>
      </c>
      <c r="C28" s="216">
        <v>2</v>
      </c>
      <c r="D28" s="216" t="str">
        <f>main!$B$30</f>
        <v>McLane-PARFLUX-Mark78H-21 ; frame# 14182, funnel# 874, controller# 11741-01 and Motor # 14182-02 Cup set Ex21</v>
      </c>
      <c r="E28" s="216">
        <v>2000</v>
      </c>
      <c r="F28" s="216">
        <v>1</v>
      </c>
      <c r="G28" s="217">
        <f>main!E32</f>
        <v>424.0428571428572</v>
      </c>
      <c r="H28" s="218">
        <f>main!I32</f>
        <v>49.887394957983197</v>
      </c>
      <c r="I28" s="218">
        <f>main!J32</f>
        <v>18.221371008403366</v>
      </c>
      <c r="J28" s="219">
        <v>1</v>
      </c>
      <c r="K28" s="219">
        <f>main!AF32</f>
        <v>70.075846869540342</v>
      </c>
      <c r="L28" s="219">
        <f>main!AG32</f>
        <v>8.4088019601284429</v>
      </c>
      <c r="M28" s="219">
        <v>1</v>
      </c>
      <c r="N28" s="219">
        <f>main!M32</f>
        <v>13.924801826477051</v>
      </c>
      <c r="O28" s="219">
        <v>1</v>
      </c>
      <c r="P28" s="219">
        <f>main!O32</f>
        <v>0.88967561721801758</v>
      </c>
      <c r="Q28" s="219">
        <v>1</v>
      </c>
      <c r="R28" s="219">
        <f>main!AH32</f>
        <v>5.5159998663486078</v>
      </c>
      <c r="S28" s="219">
        <v>1</v>
      </c>
      <c r="T28" s="219">
        <f>main!AB32</f>
        <v>3.254385205747877</v>
      </c>
      <c r="U28" s="219">
        <v>1</v>
      </c>
      <c r="V28" s="219">
        <f>main!AC32</f>
        <v>6.9617660026126726</v>
      </c>
      <c r="W28" s="219">
        <f t="shared" si="1"/>
        <v>12.768780045379561</v>
      </c>
      <c r="X28" s="219">
        <f t="shared" si="0"/>
        <v>1.5321990025168981</v>
      </c>
      <c r="Y28" s="219">
        <f t="shared" si="2"/>
        <v>2.5372898029873117</v>
      </c>
      <c r="Z28" s="219">
        <f t="shared" si="3"/>
        <v>0.16211109498459755</v>
      </c>
      <c r="AA28" s="219">
        <f t="shared" si="4"/>
        <v>1.0050908004704138</v>
      </c>
      <c r="AB28" s="219">
        <f t="shared" si="5"/>
        <v>1.2685292120729474</v>
      </c>
      <c r="AC28" s="220">
        <f>main!T32</f>
        <v>44332</v>
      </c>
      <c r="AD28" s="220">
        <f>main!U32</f>
        <v>44349</v>
      </c>
      <c r="AE28" s="220">
        <f>main!V32</f>
        <v>44340.5</v>
      </c>
      <c r="AF28" s="217">
        <f>main!H32</f>
        <v>17</v>
      </c>
      <c r="AG28" s="218">
        <f t="shared" si="6"/>
        <v>0.5929936023819119</v>
      </c>
      <c r="AH28" s="218">
        <f t="shared" si="7"/>
        <v>0.21126476294648724</v>
      </c>
      <c r="AI28" s="218">
        <f t="shared" si="8"/>
        <v>1.1571098856859212E-2</v>
      </c>
      <c r="AJ28" s="218">
        <f t="shared" si="9"/>
        <v>8.3687826850159353E-2</v>
      </c>
      <c r="AK28" s="218">
        <f t="shared" si="10"/>
        <v>0.12757693609632789</v>
      </c>
      <c r="AL28" s="218">
        <f t="shared" si="11"/>
        <v>2.1110487802844854E-2</v>
      </c>
      <c r="AM28" s="219">
        <f>depths!$B$3</f>
        <v>2207.9</v>
      </c>
      <c r="AO28" s="219">
        <f t="shared" si="12"/>
        <v>211.26476294648725</v>
      </c>
      <c r="AP28" s="219">
        <v>1</v>
      </c>
      <c r="AQ28" s="219">
        <f t="shared" si="13"/>
        <v>11.571098856859212</v>
      </c>
      <c r="AR28" s="219">
        <v>1</v>
      </c>
      <c r="AS28" s="219">
        <f t="shared" si="14"/>
        <v>83.687826850159354</v>
      </c>
      <c r="AT28" s="219">
        <v>1</v>
      </c>
      <c r="AU28" s="219">
        <f t="shared" si="15"/>
        <v>127.5769360963279</v>
      </c>
      <c r="AV28" s="219">
        <v>1</v>
      </c>
      <c r="AW28" s="219">
        <f t="shared" si="16"/>
        <v>21.110487802844855</v>
      </c>
      <c r="AX28" s="219">
        <v>1</v>
      </c>
      <c r="AY28" s="219">
        <f t="shared" si="17"/>
        <v>7.232487414153427</v>
      </c>
      <c r="AZ28" s="219">
        <f t="shared" si="18"/>
        <v>11.025481475400392</v>
      </c>
      <c r="BA28" s="219">
        <f>main!R32</f>
        <v>40.36</v>
      </c>
      <c r="BB28" s="219">
        <v>1</v>
      </c>
      <c r="BC28" s="219">
        <f>main!S32</f>
        <v>8.59</v>
      </c>
      <c r="BD28" s="219">
        <v>1</v>
      </c>
    </row>
    <row r="29" spans="1:56">
      <c r="A29" s="216">
        <f>main!A33</f>
        <v>2021</v>
      </c>
      <c r="B29" s="216" t="str">
        <f>main!B33</f>
        <v>47_2000</v>
      </c>
      <c r="C29" s="216">
        <v>3</v>
      </c>
      <c r="D29" s="216" t="str">
        <f>main!$B$30</f>
        <v>McLane-PARFLUX-Mark78H-21 ; frame# 14182, funnel# 874, controller# 11741-01 and Motor # 14182-02 Cup set Ex21</v>
      </c>
      <c r="E29" s="216">
        <v>2000</v>
      </c>
      <c r="F29" s="216">
        <v>1</v>
      </c>
      <c r="G29" s="217">
        <f>main!E33</f>
        <v>584.97142857142853</v>
      </c>
      <c r="H29" s="218">
        <f>main!I33</f>
        <v>68.820168067226888</v>
      </c>
      <c r="I29" s="218">
        <f>main!J33</f>
        <v>25.13656638655462</v>
      </c>
      <c r="J29" s="219">
        <v>1</v>
      </c>
      <c r="K29" s="219">
        <f>main!AF33</f>
        <v>70.073750509862307</v>
      </c>
      <c r="L29" s="219">
        <f>main!AG33</f>
        <v>8.4085504059317078</v>
      </c>
      <c r="M29" s="219">
        <v>1</v>
      </c>
      <c r="N29" s="219">
        <f>main!M33</f>
        <v>13.59086799621582</v>
      </c>
      <c r="O29" s="219">
        <v>1</v>
      </c>
      <c r="P29" s="219">
        <f>main!O33</f>
        <v>0.74985939264297485</v>
      </c>
      <c r="Q29" s="219">
        <v>1</v>
      </c>
      <c r="R29" s="219">
        <f>main!AH33</f>
        <v>5.1823175902841125</v>
      </c>
      <c r="S29" s="219">
        <v>1</v>
      </c>
      <c r="T29" s="219">
        <f>main!AB33</f>
        <v>3.6357994371282927</v>
      </c>
      <c r="U29" s="219">
        <v>1</v>
      </c>
      <c r="V29" s="219">
        <f>main!AC33</f>
        <v>7.7776855883602378</v>
      </c>
      <c r="W29" s="219">
        <f t="shared" si="1"/>
        <v>17.614134816460197</v>
      </c>
      <c r="X29" s="219">
        <f t="shared" si="0"/>
        <v>2.1136208549339317</v>
      </c>
      <c r="Y29" s="219">
        <f t="shared" si="2"/>
        <v>3.416277556377795</v>
      </c>
      <c r="Z29" s="219">
        <f t="shared" si="3"/>
        <v>0.18848890403751664</v>
      </c>
      <c r="AA29" s="219">
        <f t="shared" si="4"/>
        <v>1.3026567014438637</v>
      </c>
      <c r="AB29" s="219">
        <f t="shared" si="5"/>
        <v>1.9550431012556624</v>
      </c>
      <c r="AC29" s="220">
        <f>main!T33</f>
        <v>44349</v>
      </c>
      <c r="AD29" s="220">
        <f>main!U33</f>
        <v>44366</v>
      </c>
      <c r="AE29" s="220">
        <f>main!V33</f>
        <v>44357.5</v>
      </c>
      <c r="AF29" s="217">
        <f>main!H33</f>
        <v>17</v>
      </c>
      <c r="AG29" s="218">
        <f t="shared" si="6"/>
        <v>0.91391513919573242</v>
      </c>
      <c r="AH29" s="218">
        <f t="shared" si="7"/>
        <v>0.2844527524044792</v>
      </c>
      <c r="AI29" s="218">
        <f t="shared" si="8"/>
        <v>1.34538832289448E-2</v>
      </c>
      <c r="AJ29" s="218">
        <f t="shared" si="9"/>
        <v>0.10846433817184543</v>
      </c>
      <c r="AK29" s="218">
        <f t="shared" si="10"/>
        <v>0.17598841423263378</v>
      </c>
      <c r="AL29" s="218">
        <f t="shared" si="11"/>
        <v>3.2535248814372815E-2</v>
      </c>
      <c r="AM29" s="219">
        <f>depths!$B$3</f>
        <v>2207.9</v>
      </c>
      <c r="AO29" s="219">
        <f t="shared" si="12"/>
        <v>284.45275240447921</v>
      </c>
      <c r="AP29" s="219">
        <v>1</v>
      </c>
      <c r="AQ29" s="219">
        <f t="shared" si="13"/>
        <v>13.4538832289448</v>
      </c>
      <c r="AR29" s="219">
        <v>1</v>
      </c>
      <c r="AS29" s="219">
        <f t="shared" si="14"/>
        <v>108.46433817184544</v>
      </c>
      <c r="AT29" s="219">
        <v>1</v>
      </c>
      <c r="AU29" s="219">
        <f t="shared" si="15"/>
        <v>175.98841423263377</v>
      </c>
      <c r="AV29" s="219">
        <v>1</v>
      </c>
      <c r="AW29" s="219">
        <f t="shared" si="16"/>
        <v>32.535248814372814</v>
      </c>
      <c r="AX29" s="219">
        <v>1</v>
      </c>
      <c r="AY29" s="219">
        <f t="shared" si="17"/>
        <v>8.0619354521001281</v>
      </c>
      <c r="AZ29" s="219">
        <f t="shared" si="18"/>
        <v>13.080863809937846</v>
      </c>
      <c r="BA29" s="219">
        <f>main!R33</f>
        <v>40.414999999999999</v>
      </c>
      <c r="BB29" s="219">
        <v>1</v>
      </c>
      <c r="BC29" s="219">
        <f>main!S33</f>
        <v>8.6050000000000004</v>
      </c>
      <c r="BD29" s="219">
        <v>1</v>
      </c>
    </row>
    <row r="30" spans="1:56">
      <c r="A30" s="216">
        <f>main!A34</f>
        <v>2021</v>
      </c>
      <c r="B30" s="216" t="str">
        <f>main!B34</f>
        <v>47_2000</v>
      </c>
      <c r="C30" s="216">
        <v>4</v>
      </c>
      <c r="D30" s="216" t="str">
        <f>main!$B$30</f>
        <v>McLane-PARFLUX-Mark78H-21 ; frame# 14182, funnel# 874, controller# 11741-01 and Motor # 14182-02 Cup set Ex21</v>
      </c>
      <c r="E30" s="216">
        <v>2000</v>
      </c>
      <c r="F30" s="216">
        <v>1</v>
      </c>
      <c r="G30" s="217">
        <f>main!E34</f>
        <v>539.32857142857142</v>
      </c>
      <c r="H30" s="218">
        <f>main!I34</f>
        <v>63.450420168067225</v>
      </c>
      <c r="I30" s="218">
        <f>main!J34</f>
        <v>23.175265966386554</v>
      </c>
      <c r="J30" s="219">
        <v>1</v>
      </c>
      <c r="K30" s="219">
        <f>main!AF34</f>
        <v>69.941262409563237</v>
      </c>
      <c r="L30" s="219">
        <f>main!AG34</f>
        <v>8.3926524004525511</v>
      </c>
      <c r="M30" s="219">
        <v>1</v>
      </c>
      <c r="N30" s="219">
        <f>main!M34</f>
        <v>13.404953002929688</v>
      </c>
      <c r="O30" s="219">
        <v>1</v>
      </c>
      <c r="P30" s="219">
        <f>main!O34</f>
        <v>0.73585402965545654</v>
      </c>
      <c r="Q30" s="219">
        <v>1</v>
      </c>
      <c r="R30" s="219">
        <f>main!AH34</f>
        <v>5.0123006024771364</v>
      </c>
      <c r="S30" s="219">
        <v>1</v>
      </c>
      <c r="T30" s="219">
        <f>main!AB34</f>
        <v>4.2568723887375111</v>
      </c>
      <c r="U30" s="219">
        <v>1</v>
      </c>
      <c r="V30" s="219">
        <f>main!AC34</f>
        <v>9.1062820163487732</v>
      </c>
      <c r="W30" s="219">
        <f t="shared" si="1"/>
        <v>16.209073583664619</v>
      </c>
      <c r="X30" s="219">
        <f t="shared" si="0"/>
        <v>1.9450195154392043</v>
      </c>
      <c r="Y30" s="219">
        <f t="shared" si="2"/>
        <v>3.1066335110980763</v>
      </c>
      <c r="Z30" s="219">
        <f t="shared" si="3"/>
        <v>0.17053612849702504</v>
      </c>
      <c r="AA30" s="219">
        <f t="shared" si="4"/>
        <v>1.161613995658872</v>
      </c>
      <c r="AB30" s="219">
        <f t="shared" si="5"/>
        <v>2.1104050769380565</v>
      </c>
      <c r="AC30" s="220">
        <f>main!T34</f>
        <v>44366</v>
      </c>
      <c r="AD30" s="220">
        <f>main!U34</f>
        <v>44383</v>
      </c>
      <c r="AE30" s="220">
        <f>main!V34</f>
        <v>44374.5</v>
      </c>
      <c r="AF30" s="217">
        <f>main!H34</f>
        <v>17</v>
      </c>
      <c r="AG30" s="218">
        <f t="shared" si="6"/>
        <v>0.98654149793959078</v>
      </c>
      <c r="AH30" s="218">
        <f t="shared" si="7"/>
        <v>0.25867056711890729</v>
      </c>
      <c r="AI30" s="218">
        <f t="shared" si="8"/>
        <v>1.2172457423056749E-2</v>
      </c>
      <c r="AJ30" s="218">
        <f t="shared" si="9"/>
        <v>9.6720565833378194E-2</v>
      </c>
      <c r="AK30" s="218">
        <f t="shared" si="10"/>
        <v>0.16195000128552908</v>
      </c>
      <c r="AL30" s="218">
        <f t="shared" si="11"/>
        <v>3.5120736843702059E-2</v>
      </c>
      <c r="AM30" s="219">
        <f>depths!$B$3</f>
        <v>2207.9</v>
      </c>
      <c r="AO30" s="219">
        <f t="shared" si="12"/>
        <v>258.67056711890729</v>
      </c>
      <c r="AP30" s="219">
        <v>1</v>
      </c>
      <c r="AQ30" s="219">
        <f t="shared" si="13"/>
        <v>12.172457423056748</v>
      </c>
      <c r="AR30" s="219">
        <v>1</v>
      </c>
      <c r="AS30" s="219">
        <f t="shared" si="14"/>
        <v>96.720565833378188</v>
      </c>
      <c r="AT30" s="219">
        <v>1</v>
      </c>
      <c r="AU30" s="219">
        <f t="shared" si="15"/>
        <v>161.95000128552908</v>
      </c>
      <c r="AV30" s="219">
        <v>1</v>
      </c>
      <c r="AW30" s="219">
        <f t="shared" si="16"/>
        <v>35.120736843702062</v>
      </c>
      <c r="AX30" s="219">
        <v>1</v>
      </c>
      <c r="AY30" s="219">
        <f t="shared" si="17"/>
        <v>7.9458536983807919</v>
      </c>
      <c r="AZ30" s="219">
        <f t="shared" si="18"/>
        <v>13.304626638394943</v>
      </c>
      <c r="BA30" s="219">
        <f>main!R34</f>
        <v>40.22</v>
      </c>
      <c r="BB30" s="219">
        <v>1</v>
      </c>
      <c r="BC30" s="219">
        <f>main!S34</f>
        <v>8.61</v>
      </c>
      <c r="BD30" s="219">
        <v>1</v>
      </c>
    </row>
    <row r="31" spans="1:56">
      <c r="A31" s="216">
        <f>main!A35</f>
        <v>2021</v>
      </c>
      <c r="B31" s="216" t="str">
        <f>main!B35</f>
        <v>47_2000</v>
      </c>
      <c r="C31" s="216">
        <v>5</v>
      </c>
      <c r="D31" s="216" t="str">
        <f>main!$B$30</f>
        <v>McLane-PARFLUX-Mark78H-21 ; frame# 14182, funnel# 874, controller# 11741-01 and Motor # 14182-02 Cup set Ex21</v>
      </c>
      <c r="E31" s="216">
        <v>2000</v>
      </c>
      <c r="F31" s="216">
        <v>1</v>
      </c>
      <c r="G31" s="217">
        <f>main!E35</f>
        <v>423.08571428571429</v>
      </c>
      <c r="H31" s="218">
        <f>main!I35</f>
        <v>49.774789915966387</v>
      </c>
      <c r="I31" s="218">
        <f>main!J35</f>
        <v>18.180242016806723</v>
      </c>
      <c r="J31" s="219">
        <v>1</v>
      </c>
      <c r="K31" s="219">
        <f>main!AF35</f>
        <v>70.257354756557206</v>
      </c>
      <c r="L31" s="219">
        <f>main!AG35</f>
        <v>8.4305821303912101</v>
      </c>
      <c r="M31" s="219">
        <v>1</v>
      </c>
      <c r="N31" s="219">
        <f>main!M35</f>
        <v>13.477887153625488</v>
      </c>
      <c r="O31" s="219">
        <v>1</v>
      </c>
      <c r="P31" s="219">
        <f>main!O35</f>
        <v>0.71515554189682007</v>
      </c>
      <c r="Q31" s="219">
        <v>1</v>
      </c>
      <c r="R31" s="219">
        <f>main!AH35</f>
        <v>5.0473050232342782</v>
      </c>
      <c r="S31" s="219">
        <v>1</v>
      </c>
      <c r="T31" s="219">
        <f>main!AB35</f>
        <v>4.1586083339159616</v>
      </c>
      <c r="U31" s="219">
        <v>1</v>
      </c>
      <c r="V31" s="219">
        <f>main!AC35</f>
        <v>8.8960759980423685</v>
      </c>
      <c r="W31" s="219">
        <f t="shared" si="1"/>
        <v>12.772957129348571</v>
      </c>
      <c r="X31" s="219">
        <f t="shared" si="0"/>
        <v>1.5327002347307823</v>
      </c>
      <c r="Y31" s="219">
        <f t="shared" si="2"/>
        <v>2.450312503281217</v>
      </c>
      <c r="Z31" s="219">
        <f t="shared" si="3"/>
        <v>0.13001700831344748</v>
      </c>
      <c r="AA31" s="219">
        <f t="shared" si="4"/>
        <v>0.91761226855043454</v>
      </c>
      <c r="AB31" s="219">
        <f t="shared" si="5"/>
        <v>1.6173281464431568</v>
      </c>
      <c r="AC31" s="220">
        <f>main!T35</f>
        <v>44383</v>
      </c>
      <c r="AD31" s="220">
        <f>main!U35</f>
        <v>44400</v>
      </c>
      <c r="AE31" s="220">
        <f>main!V35</f>
        <v>44391.5</v>
      </c>
      <c r="AF31" s="217">
        <f>main!H35</f>
        <v>17</v>
      </c>
      <c r="AG31" s="218">
        <f t="shared" si="6"/>
        <v>0.75604505963701563</v>
      </c>
      <c r="AH31" s="218">
        <f t="shared" si="7"/>
        <v>0.20402268969868584</v>
      </c>
      <c r="AI31" s="218">
        <f t="shared" si="8"/>
        <v>9.2803003792610618E-3</v>
      </c>
      <c r="AJ31" s="218">
        <f t="shared" si="9"/>
        <v>7.6404019030011205E-2</v>
      </c>
      <c r="AK31" s="218">
        <f t="shared" si="10"/>
        <v>0.12761867066867463</v>
      </c>
      <c r="AL31" s="218">
        <f t="shared" si="11"/>
        <v>2.6915096462691905E-2</v>
      </c>
      <c r="AM31" s="219">
        <f>depths!$B$3</f>
        <v>2207.9</v>
      </c>
      <c r="AO31" s="219">
        <f t="shared" si="12"/>
        <v>204.02268969868584</v>
      </c>
      <c r="AP31" s="219">
        <v>1</v>
      </c>
      <c r="AQ31" s="219">
        <f t="shared" si="13"/>
        <v>9.2803003792610621</v>
      </c>
      <c r="AR31" s="219">
        <v>1</v>
      </c>
      <c r="AS31" s="219">
        <f t="shared" si="14"/>
        <v>76.404019030011199</v>
      </c>
      <c r="AT31" s="219">
        <v>1</v>
      </c>
      <c r="AU31" s="219">
        <f t="shared" si="15"/>
        <v>127.61867066867464</v>
      </c>
      <c r="AV31" s="219">
        <v>1</v>
      </c>
      <c r="AW31" s="219">
        <f t="shared" si="16"/>
        <v>26.915096462691906</v>
      </c>
      <c r="AX31" s="219">
        <v>1</v>
      </c>
      <c r="AY31" s="219">
        <f t="shared" si="17"/>
        <v>8.2329252187518982</v>
      </c>
      <c r="AZ31" s="219">
        <f t="shared" si="18"/>
        <v>13.751566808534294</v>
      </c>
      <c r="BA31" s="219">
        <f>main!R35</f>
        <v>40.5</v>
      </c>
      <c r="BB31" s="219">
        <v>1</v>
      </c>
      <c r="BC31" s="219">
        <f>main!S35</f>
        <v>8.6</v>
      </c>
      <c r="BD31" s="219">
        <v>1</v>
      </c>
    </row>
    <row r="32" spans="1:56">
      <c r="A32" s="216">
        <f>main!A36</f>
        <v>2021</v>
      </c>
      <c r="B32" s="216" t="str">
        <f>main!B36</f>
        <v>47_2000</v>
      </c>
      <c r="C32" s="216">
        <v>6</v>
      </c>
      <c r="D32" s="216" t="str">
        <f>main!$B$30</f>
        <v>McLane-PARFLUX-Mark78H-21 ; frame# 14182, funnel# 874, controller# 11741-01 and Motor # 14182-02 Cup set Ex21</v>
      </c>
      <c r="E32" s="216">
        <v>2000</v>
      </c>
      <c r="F32" s="216">
        <v>1</v>
      </c>
      <c r="G32" s="217">
        <f>main!E36</f>
        <v>277.02857142857141</v>
      </c>
      <c r="H32" s="218">
        <f>main!I36</f>
        <v>32.59159663865546</v>
      </c>
      <c r="I32" s="218">
        <f>main!J36</f>
        <v>11.904080672268906</v>
      </c>
      <c r="J32" s="219">
        <v>1</v>
      </c>
      <c r="K32" s="219">
        <f>main!AF36</f>
        <v>71.906472970856171</v>
      </c>
      <c r="L32" s="219">
        <f>main!AG36</f>
        <v>8.6284692640094018</v>
      </c>
      <c r="M32" s="219">
        <v>1</v>
      </c>
      <c r="N32" s="219">
        <f>main!M36</f>
        <v>13.27193546295166</v>
      </c>
      <c r="O32" s="219">
        <v>1</v>
      </c>
      <c r="P32" s="219">
        <f>main!O36</f>
        <v>0.64075922966003418</v>
      </c>
      <c r="Q32" s="219">
        <v>1</v>
      </c>
      <c r="R32" s="219">
        <f>main!AH36</f>
        <v>4.6434661989422583</v>
      </c>
      <c r="S32" s="219">
        <v>1</v>
      </c>
      <c r="T32" s="219">
        <f>main!AB36</f>
        <v>4.2152985273716785</v>
      </c>
      <c r="U32" s="219">
        <v>1</v>
      </c>
      <c r="V32" s="219">
        <f>main!AC36</f>
        <v>9.0173474015579984</v>
      </c>
      <c r="W32" s="219">
        <f t="shared" si="1"/>
        <v>8.5598045510339542</v>
      </c>
      <c r="X32" s="219">
        <f t="shared" si="0"/>
        <v>1.0271399419696063</v>
      </c>
      <c r="Y32" s="219">
        <f t="shared" si="2"/>
        <v>1.5799019042812312</v>
      </c>
      <c r="Z32" s="219">
        <f t="shared" si="3"/>
        <v>7.6276495613739254E-2</v>
      </c>
      <c r="AA32" s="219">
        <f t="shared" si="4"/>
        <v>0.552761962311625</v>
      </c>
      <c r="AB32" s="219">
        <f t="shared" si="5"/>
        <v>1.073432309180208</v>
      </c>
      <c r="AC32" s="220">
        <f>main!T36</f>
        <v>44400</v>
      </c>
      <c r="AD32" s="220">
        <f>main!U36</f>
        <v>44417</v>
      </c>
      <c r="AE32" s="220">
        <f>main!V36</f>
        <v>44408.5</v>
      </c>
      <c r="AF32" s="217">
        <f>main!H36</f>
        <v>17</v>
      </c>
      <c r="AG32" s="218">
        <f t="shared" si="6"/>
        <v>0.50179253727528772</v>
      </c>
      <c r="AH32" s="218">
        <f t="shared" si="7"/>
        <v>0.13154886796679693</v>
      </c>
      <c r="AI32" s="218">
        <f t="shared" si="8"/>
        <v>5.4444322350991614E-3</v>
      </c>
      <c r="AJ32" s="218">
        <f t="shared" si="9"/>
        <v>4.6025142573823896E-2</v>
      </c>
      <c r="AK32" s="218">
        <f t="shared" si="10"/>
        <v>8.5523725392973052E-2</v>
      </c>
      <c r="AL32" s="218">
        <f t="shared" si="11"/>
        <v>1.7863742872028753E-2</v>
      </c>
      <c r="AM32" s="219">
        <f>depths!$B$3</f>
        <v>2207.9</v>
      </c>
      <c r="AO32" s="219">
        <f t="shared" si="12"/>
        <v>131.54886796679693</v>
      </c>
      <c r="AP32" s="219">
        <v>1</v>
      </c>
      <c r="AQ32" s="219">
        <f t="shared" si="13"/>
        <v>5.4444322350991614</v>
      </c>
      <c r="AR32" s="219">
        <v>1</v>
      </c>
      <c r="AS32" s="219">
        <f t="shared" si="14"/>
        <v>46.025142573823899</v>
      </c>
      <c r="AT32" s="219">
        <v>1</v>
      </c>
      <c r="AU32" s="219">
        <f t="shared" si="15"/>
        <v>85.523725392973049</v>
      </c>
      <c r="AV32" s="219">
        <v>1</v>
      </c>
      <c r="AW32" s="219">
        <f t="shared" si="16"/>
        <v>17.863742872028752</v>
      </c>
      <c r="AX32" s="219">
        <v>1</v>
      </c>
      <c r="AY32" s="219">
        <f t="shared" si="17"/>
        <v>8.4536165731128126</v>
      </c>
      <c r="AZ32" s="219">
        <f t="shared" si="18"/>
        <v>15.708474584662614</v>
      </c>
      <c r="BA32" s="219">
        <f>main!R36</f>
        <v>40.549999999999997</v>
      </c>
      <c r="BB32" s="219">
        <v>1</v>
      </c>
      <c r="BC32" s="219">
        <f>main!S36</f>
        <v>8.65</v>
      </c>
      <c r="BD32" s="219">
        <v>1</v>
      </c>
    </row>
    <row r="33" spans="1:56">
      <c r="A33" s="216">
        <f>main!A37</f>
        <v>2021</v>
      </c>
      <c r="B33" s="216" t="str">
        <f>main!B37</f>
        <v>47_2000</v>
      </c>
      <c r="C33" s="216">
        <v>7</v>
      </c>
      <c r="D33" s="216" t="str">
        <f>main!$B$30</f>
        <v>McLane-PARFLUX-Mark78H-21 ; frame# 14182, funnel# 874, controller# 11741-01 and Motor # 14182-02 Cup set Ex21</v>
      </c>
      <c r="E33" s="216">
        <v>2000</v>
      </c>
      <c r="F33" s="216">
        <v>1</v>
      </c>
      <c r="G33" s="217">
        <f>main!E37</f>
        <v>287.07142857142856</v>
      </c>
      <c r="H33" s="218">
        <f>main!I37</f>
        <v>33.773109243697476</v>
      </c>
      <c r="I33" s="218">
        <f>main!J37</f>
        <v>12.335628151260504</v>
      </c>
      <c r="J33" s="219">
        <v>1</v>
      </c>
      <c r="K33" s="219">
        <f>main!AF37</f>
        <v>68.411802083429365</v>
      </c>
      <c r="L33" s="219">
        <f>main!AG37</f>
        <v>8.2091237017230689</v>
      </c>
      <c r="M33" s="219">
        <v>1</v>
      </c>
      <c r="N33" s="219">
        <f>main!M37</f>
        <v>14.19951057434082</v>
      </c>
      <c r="O33" s="219">
        <v>1</v>
      </c>
      <c r="P33" s="219">
        <f>main!O37</f>
        <v>0.9704279899597168</v>
      </c>
      <c r="Q33" s="219">
        <v>1</v>
      </c>
      <c r="R33" s="219">
        <f>main!AH37</f>
        <v>5.9903868726177514</v>
      </c>
      <c r="S33" s="219">
        <v>1</v>
      </c>
      <c r="T33" s="219">
        <f>main!AB37</f>
        <v>4.1973491264039939</v>
      </c>
      <c r="U33" s="219">
        <v>1</v>
      </c>
      <c r="V33" s="219">
        <f>main!AC37</f>
        <v>8.9789501247994306</v>
      </c>
      <c r="W33" s="219">
        <f t="shared" si="1"/>
        <v>8.4390255165881332</v>
      </c>
      <c r="X33" s="219">
        <f t="shared" si="0"/>
        <v>1.0126469743215492</v>
      </c>
      <c r="Y33" s="219">
        <f t="shared" si="2"/>
        <v>1.7515988237495983</v>
      </c>
      <c r="Z33" s="219">
        <f t="shared" si="3"/>
        <v>0.11970838831718228</v>
      </c>
      <c r="AA33" s="219">
        <f t="shared" si="4"/>
        <v>0.73895184942804903</v>
      </c>
      <c r="AB33" s="219">
        <f t="shared" si="5"/>
        <v>1.1076098992823986</v>
      </c>
      <c r="AC33" s="220">
        <f>main!T37</f>
        <v>44417</v>
      </c>
      <c r="AD33" s="220">
        <f>main!U37</f>
        <v>44434</v>
      </c>
      <c r="AE33" s="220">
        <f>main!V37</f>
        <v>44425.5</v>
      </c>
      <c r="AF33" s="217">
        <f>main!H37</f>
        <v>17</v>
      </c>
      <c r="AG33" s="218">
        <f t="shared" si="6"/>
        <v>0.51776938044337795</v>
      </c>
      <c r="AH33" s="218">
        <f t="shared" si="7"/>
        <v>0.14584503111986663</v>
      </c>
      <c r="AI33" s="218">
        <f t="shared" si="8"/>
        <v>8.5444959541172219E-3</v>
      </c>
      <c r="AJ33" s="218">
        <f t="shared" si="9"/>
        <v>6.1528047412826734E-2</v>
      </c>
      <c r="AK33" s="218">
        <f t="shared" si="10"/>
        <v>8.4316983707039897E-2</v>
      </c>
      <c r="AL33" s="218">
        <f t="shared" si="11"/>
        <v>1.8432516213719399E-2</v>
      </c>
      <c r="AM33" s="219">
        <f>depths!$B$3</f>
        <v>2207.9</v>
      </c>
      <c r="AO33" s="219">
        <f t="shared" si="12"/>
        <v>145.84503111986663</v>
      </c>
      <c r="AP33" s="219">
        <v>1</v>
      </c>
      <c r="AQ33" s="219">
        <f t="shared" si="13"/>
        <v>8.5444959541172221</v>
      </c>
      <c r="AR33" s="219">
        <v>1</v>
      </c>
      <c r="AS33" s="219">
        <f t="shared" si="14"/>
        <v>61.52804741282673</v>
      </c>
      <c r="AT33" s="219">
        <v>1</v>
      </c>
      <c r="AU33" s="219">
        <f t="shared" si="15"/>
        <v>84.316983707039896</v>
      </c>
      <c r="AV33" s="219">
        <v>1</v>
      </c>
      <c r="AW33" s="219">
        <f t="shared" si="16"/>
        <v>18.432516213719399</v>
      </c>
      <c r="AX33" s="219">
        <v>1</v>
      </c>
      <c r="AY33" s="219">
        <f t="shared" si="17"/>
        <v>7.2008984196638339</v>
      </c>
      <c r="AZ33" s="219">
        <f t="shared" si="18"/>
        <v>9.8679880193999274</v>
      </c>
      <c r="BA33" s="219">
        <f>main!R37</f>
        <v>40.64</v>
      </c>
      <c r="BB33" s="219">
        <v>1</v>
      </c>
      <c r="BC33" s="219">
        <f>main!S37</f>
        <v>8.64</v>
      </c>
      <c r="BD33" s="219">
        <v>1</v>
      </c>
    </row>
    <row r="34" spans="1:56">
      <c r="A34" s="216">
        <f>main!A38</f>
        <v>2021</v>
      </c>
      <c r="B34" s="216" t="str">
        <f>main!B38</f>
        <v>47_2000</v>
      </c>
      <c r="C34" s="216">
        <v>8</v>
      </c>
      <c r="D34" s="216" t="str">
        <f>main!$B$30</f>
        <v>McLane-PARFLUX-Mark78H-21 ; frame# 14182, funnel# 874, controller# 11741-01 and Motor # 14182-02 Cup set Ex21</v>
      </c>
      <c r="E34" s="216">
        <v>2000</v>
      </c>
      <c r="F34" s="216">
        <v>1</v>
      </c>
      <c r="G34" s="217">
        <f>main!E38</f>
        <v>286.45714285714286</v>
      </c>
      <c r="H34" s="218">
        <f>main!I38</f>
        <v>33.700840336134455</v>
      </c>
      <c r="I34" s="218">
        <f>main!J38</f>
        <v>12.309231932773109</v>
      </c>
      <c r="J34" s="219">
        <v>1</v>
      </c>
      <c r="K34" s="219">
        <f>main!AF38</f>
        <v>71.026493505621474</v>
      </c>
      <c r="L34" s="219">
        <f>main!AG38</f>
        <v>8.5228754912232656</v>
      </c>
      <c r="M34" s="219">
        <v>1</v>
      </c>
      <c r="N34" s="219">
        <f>main!M38</f>
        <v>13.282626152038574</v>
      </c>
      <c r="O34" s="219">
        <v>1</v>
      </c>
      <c r="P34" s="219">
        <f>main!O38</f>
        <v>0.68094116449356079</v>
      </c>
      <c r="Q34" s="219">
        <v>1</v>
      </c>
      <c r="R34" s="219">
        <f>main!AH38</f>
        <v>4.7597506608153086</v>
      </c>
      <c r="S34" s="219">
        <v>1</v>
      </c>
      <c r="T34" s="219">
        <f>main!AB38</f>
        <v>4.5769935207154582</v>
      </c>
      <c r="U34" s="219">
        <v>1</v>
      </c>
      <c r="V34" s="219">
        <f>main!AC38</f>
        <v>9.791083683153861</v>
      </c>
      <c r="W34" s="219">
        <f t="shared" si="1"/>
        <v>8.7428158193229759</v>
      </c>
      <c r="X34" s="219">
        <f t="shared" si="0"/>
        <v>1.0491005115561471</v>
      </c>
      <c r="Y34" s="219">
        <f t="shared" si="2"/>
        <v>1.6349892598176041</v>
      </c>
      <c r="Z34" s="219">
        <f t="shared" si="3"/>
        <v>8.3818627263238452E-2</v>
      </c>
      <c r="AA34" s="219">
        <f t="shared" si="4"/>
        <v>0.58588874826145709</v>
      </c>
      <c r="AB34" s="219">
        <f t="shared" si="5"/>
        <v>1.2052071992913127</v>
      </c>
      <c r="AC34" s="220">
        <f>main!T38</f>
        <v>44434</v>
      </c>
      <c r="AD34" s="220">
        <f>main!U38</f>
        <v>44451</v>
      </c>
      <c r="AE34" s="220">
        <f>main!V38</f>
        <v>44442.5</v>
      </c>
      <c r="AF34" s="217">
        <f>main!H38</f>
        <v>17</v>
      </c>
      <c r="AG34" s="218">
        <f t="shared" si="6"/>
        <v>0.56339274801286332</v>
      </c>
      <c r="AH34" s="218">
        <f t="shared" si="7"/>
        <v>0.13613565860263149</v>
      </c>
      <c r="AI34" s="218">
        <f t="shared" si="8"/>
        <v>5.9827713963767635E-3</v>
      </c>
      <c r="AJ34" s="218">
        <f t="shared" si="9"/>
        <v>4.8783409513859878E-2</v>
      </c>
      <c r="AK34" s="218">
        <f t="shared" si="10"/>
        <v>8.7352249088771622E-2</v>
      </c>
      <c r="AL34" s="218">
        <f t="shared" si="11"/>
        <v>2.0056701602451526E-2</v>
      </c>
      <c r="AM34" s="219">
        <f>depths!$B$3</f>
        <v>2207.9</v>
      </c>
      <c r="AO34" s="219">
        <f t="shared" si="12"/>
        <v>136.13565860263148</v>
      </c>
      <c r="AP34" s="219">
        <v>1</v>
      </c>
      <c r="AQ34" s="219">
        <f t="shared" si="13"/>
        <v>5.982771396376763</v>
      </c>
      <c r="AR34" s="219">
        <v>1</v>
      </c>
      <c r="AS34" s="219">
        <f t="shared" si="14"/>
        <v>48.78340951385988</v>
      </c>
      <c r="AT34" s="219">
        <v>1</v>
      </c>
      <c r="AU34" s="219">
        <f t="shared" si="15"/>
        <v>87.352249088771629</v>
      </c>
      <c r="AV34" s="219">
        <v>1</v>
      </c>
      <c r="AW34" s="219">
        <f t="shared" si="16"/>
        <v>20.056701602451525</v>
      </c>
      <c r="AX34" s="219">
        <v>1</v>
      </c>
      <c r="AY34" s="219">
        <f t="shared" si="17"/>
        <v>8.1539818725822766</v>
      </c>
      <c r="AZ34" s="219">
        <f t="shared" si="18"/>
        <v>14.60063293437439</v>
      </c>
      <c r="BA34" s="219">
        <f>main!R38</f>
        <v>40.67</v>
      </c>
      <c r="BB34" s="219">
        <v>1</v>
      </c>
      <c r="BC34" s="219">
        <f>main!S38</f>
        <v>8.6300000000000008</v>
      </c>
      <c r="BD34" s="219">
        <v>1</v>
      </c>
    </row>
    <row r="35" spans="1:56">
      <c r="A35" s="216">
        <f>main!A39</f>
        <v>2021</v>
      </c>
      <c r="B35" s="216" t="str">
        <f>main!B39</f>
        <v>47_2000</v>
      </c>
      <c r="C35" s="216">
        <v>9</v>
      </c>
      <c r="D35" s="216" t="str">
        <f>main!$B$30</f>
        <v>McLane-PARFLUX-Mark78H-21 ; frame# 14182, funnel# 874, controller# 11741-01 and Motor # 14182-02 Cup set Ex21</v>
      </c>
      <c r="E35" s="216">
        <v>2000</v>
      </c>
      <c r="F35" s="216">
        <v>1</v>
      </c>
      <c r="G35" s="217">
        <f>main!E39</f>
        <v>462.20000000000005</v>
      </c>
      <c r="H35" s="218">
        <f>main!I39</f>
        <v>54.3764705882353</v>
      </c>
      <c r="I35" s="218">
        <f>main!J39</f>
        <v>19.861005882352941</v>
      </c>
      <c r="J35" s="219">
        <v>1</v>
      </c>
      <c r="K35" s="219">
        <f>main!AF39</f>
        <v>70.264190434620446</v>
      </c>
      <c r="L35" s="219">
        <f>main!AG39</f>
        <v>8.431402382527498</v>
      </c>
      <c r="M35" s="219">
        <v>1</v>
      </c>
      <c r="N35" s="219">
        <f>main!M39</f>
        <v>13.480400085449219</v>
      </c>
      <c r="O35" s="219">
        <v>1</v>
      </c>
      <c r="P35" s="219">
        <f>main!O39</f>
        <v>0.75413709878921509</v>
      </c>
      <c r="Q35" s="219">
        <v>1</v>
      </c>
      <c r="R35" s="219">
        <f>main!AH39</f>
        <v>5.0489977029217208</v>
      </c>
      <c r="S35" s="219">
        <v>1</v>
      </c>
      <c r="T35" s="219">
        <f>main!AB39</f>
        <v>4.5492179527780694</v>
      </c>
      <c r="U35" s="219">
        <v>1</v>
      </c>
      <c r="V35" s="219">
        <f>main!AC39</f>
        <v>9.7316663147894005</v>
      </c>
      <c r="W35" s="219">
        <f t="shared" si="1"/>
        <v>13.955174995407639</v>
      </c>
      <c r="X35" s="219">
        <f t="shared" si="0"/>
        <v>1.6745613231586323</v>
      </c>
      <c r="Y35" s="219">
        <f t="shared" si="2"/>
        <v>2.6773430539357803</v>
      </c>
      <c r="Z35" s="219">
        <f t="shared" si="3"/>
        <v>0.14977921355153184</v>
      </c>
      <c r="AA35" s="219">
        <f t="shared" si="4"/>
        <v>1.0027817307771478</v>
      </c>
      <c r="AB35" s="219">
        <f t="shared" si="5"/>
        <v>1.9328068192312824</v>
      </c>
      <c r="AC35" s="220">
        <f>main!T39</f>
        <v>44451</v>
      </c>
      <c r="AD35" s="220">
        <f>main!U39</f>
        <v>44468</v>
      </c>
      <c r="AE35" s="220">
        <f>main!V39</f>
        <v>44459.5</v>
      </c>
      <c r="AF35" s="217">
        <f>main!H39</f>
        <v>17</v>
      </c>
      <c r="AG35" s="218">
        <f t="shared" si="6"/>
        <v>0.90352044520230845</v>
      </c>
      <c r="AH35" s="218">
        <f t="shared" si="7"/>
        <v>0.22292614937017322</v>
      </c>
      <c r="AI35" s="218">
        <f t="shared" si="8"/>
        <v>1.0690878911601131E-2</v>
      </c>
      <c r="AJ35" s="218">
        <f t="shared" si="9"/>
        <v>8.3495564594267102E-2</v>
      </c>
      <c r="AK35" s="218">
        <f t="shared" si="10"/>
        <v>0.13943058477590611</v>
      </c>
      <c r="AL35" s="218">
        <f t="shared" si="11"/>
        <v>3.2165199188405429E-2</v>
      </c>
      <c r="AM35" s="219">
        <f>depths!$B$3</f>
        <v>2207.9</v>
      </c>
      <c r="AO35" s="219">
        <f t="shared" si="12"/>
        <v>222.92614937017322</v>
      </c>
      <c r="AP35" s="219">
        <v>1</v>
      </c>
      <c r="AQ35" s="219">
        <f t="shared" si="13"/>
        <v>10.69087891160113</v>
      </c>
      <c r="AR35" s="219">
        <v>1</v>
      </c>
      <c r="AS35" s="219">
        <f t="shared" si="14"/>
        <v>83.495564594267108</v>
      </c>
      <c r="AT35" s="219">
        <v>1</v>
      </c>
      <c r="AU35" s="219">
        <f t="shared" si="15"/>
        <v>139.43058477590611</v>
      </c>
      <c r="AV35" s="219">
        <v>1</v>
      </c>
      <c r="AW35" s="219">
        <f t="shared" si="16"/>
        <v>32.165199188405431</v>
      </c>
      <c r="AX35" s="219">
        <v>1</v>
      </c>
      <c r="AY35" s="219">
        <f t="shared" si="17"/>
        <v>7.8099813200262229</v>
      </c>
      <c r="AZ35" s="219">
        <f t="shared" si="18"/>
        <v>13.042013283361017</v>
      </c>
      <c r="BA35" s="219">
        <f>main!R39</f>
        <v>40.68</v>
      </c>
      <c r="BB35" s="219">
        <v>1</v>
      </c>
      <c r="BC35" s="219">
        <f>main!S39</f>
        <v>8.6199999999999992</v>
      </c>
      <c r="BD35" s="219">
        <v>1</v>
      </c>
    </row>
    <row r="36" spans="1:56">
      <c r="A36" s="216">
        <f>main!A40</f>
        <v>2021</v>
      </c>
      <c r="B36" s="216" t="str">
        <f>main!B40</f>
        <v>47_2000</v>
      </c>
      <c r="C36" s="216">
        <v>10</v>
      </c>
      <c r="D36" s="216" t="str">
        <f>main!$B$30</f>
        <v>McLane-PARFLUX-Mark78H-21 ; frame# 14182, funnel# 874, controller# 11741-01 and Motor # 14182-02 Cup set Ex21</v>
      </c>
      <c r="E36" s="216">
        <v>2000</v>
      </c>
      <c r="F36" s="216">
        <v>1</v>
      </c>
      <c r="G36" s="217">
        <f>main!E40</f>
        <v>513.5857142857144</v>
      </c>
      <c r="H36" s="218">
        <f>main!I40</f>
        <v>60.421848739495815</v>
      </c>
      <c r="I36" s="218">
        <f>main!J40</f>
        <v>22.069080252100846</v>
      </c>
      <c r="J36" s="219">
        <v>1</v>
      </c>
      <c r="K36" s="219">
        <f>main!AF40</f>
        <v>65.585953679618768</v>
      </c>
      <c r="L36" s="219">
        <f>main!AG40</f>
        <v>7.8700339773958561</v>
      </c>
      <c r="M36" s="219">
        <v>1</v>
      </c>
      <c r="N36" s="219">
        <f>main!M40</f>
        <v>14.70237922668457</v>
      </c>
      <c r="O36" s="219">
        <v>1</v>
      </c>
      <c r="P36" s="219">
        <f>main!O40</f>
        <v>1.2044748067855835</v>
      </c>
      <c r="Q36" s="219">
        <v>1</v>
      </c>
      <c r="R36" s="219">
        <f>main!AH40</f>
        <v>6.8323452492887142</v>
      </c>
      <c r="S36" s="219">
        <v>1</v>
      </c>
      <c r="T36" s="219">
        <f>main!AB40</f>
        <v>4.4339842469495538</v>
      </c>
      <c r="U36" s="219">
        <v>1</v>
      </c>
      <c r="V36" s="219">
        <f>main!AC40</f>
        <v>9.4851588963758893</v>
      </c>
      <c r="W36" s="219">
        <f t="shared" si="1"/>
        <v>14.474216751660753</v>
      </c>
      <c r="X36" s="219">
        <f t="shared" si="0"/>
        <v>1.7368441143390956</v>
      </c>
      <c r="Y36" s="219">
        <f t="shared" si="2"/>
        <v>3.2446798705052213</v>
      </c>
      <c r="Z36" s="219">
        <f t="shared" si="3"/>
        <v>0.26581651172584703</v>
      </c>
      <c r="AA36" s="219">
        <f t="shared" si="4"/>
        <v>1.507835756166126</v>
      </c>
      <c r="AB36" s="219">
        <f t="shared" si="5"/>
        <v>2.0932873288804781</v>
      </c>
      <c r="AC36" s="220">
        <f>main!T40</f>
        <v>44468</v>
      </c>
      <c r="AD36" s="220">
        <f>main!U40</f>
        <v>44485</v>
      </c>
      <c r="AE36" s="220">
        <f>main!V40</f>
        <v>44476.5</v>
      </c>
      <c r="AF36" s="217">
        <f>main!H40</f>
        <v>17</v>
      </c>
      <c r="AG36" s="218">
        <f t="shared" si="6"/>
        <v>0.9785395418248064</v>
      </c>
      <c r="AH36" s="218">
        <f t="shared" si="7"/>
        <v>0.27016485183224159</v>
      </c>
      <c r="AI36" s="218">
        <f t="shared" si="8"/>
        <v>1.897334130805475E-2</v>
      </c>
      <c r="AJ36" s="218">
        <f t="shared" si="9"/>
        <v>0.12554835605046843</v>
      </c>
      <c r="AK36" s="218">
        <f t="shared" si="10"/>
        <v>0.14461649578177316</v>
      </c>
      <c r="AL36" s="218">
        <f t="shared" si="11"/>
        <v>3.4835868345489726E-2</v>
      </c>
      <c r="AM36" s="219">
        <f>depths!$B$3</f>
        <v>2207.9</v>
      </c>
      <c r="AO36" s="219">
        <f t="shared" si="12"/>
        <v>270.1648518322416</v>
      </c>
      <c r="AP36" s="219">
        <v>1</v>
      </c>
      <c r="AQ36" s="219">
        <f t="shared" si="13"/>
        <v>18.973341308054749</v>
      </c>
      <c r="AR36" s="219">
        <v>1</v>
      </c>
      <c r="AS36" s="219">
        <f t="shared" si="14"/>
        <v>125.54835605046844</v>
      </c>
      <c r="AT36" s="219">
        <v>1</v>
      </c>
      <c r="AU36" s="219">
        <f t="shared" si="15"/>
        <v>144.61649578177315</v>
      </c>
      <c r="AV36" s="219">
        <v>1</v>
      </c>
      <c r="AW36" s="219">
        <f t="shared" si="16"/>
        <v>34.835868345489729</v>
      </c>
      <c r="AX36" s="219">
        <v>1</v>
      </c>
      <c r="AY36" s="219">
        <f t="shared" si="17"/>
        <v>6.6170925833273984</v>
      </c>
      <c r="AZ36" s="219">
        <f t="shared" si="18"/>
        <v>7.6220889844204267</v>
      </c>
      <c r="BA36" s="219">
        <f>main!R40</f>
        <v>40.17</v>
      </c>
      <c r="BB36" s="219">
        <v>1</v>
      </c>
      <c r="BC36" s="219">
        <f>main!S40</f>
        <v>8.44</v>
      </c>
      <c r="BD36" s="219">
        <v>1</v>
      </c>
    </row>
    <row r="37" spans="1:56">
      <c r="A37" s="216">
        <f>main!A41</f>
        <v>2021</v>
      </c>
      <c r="B37" s="216" t="str">
        <f>main!B41</f>
        <v>47_2000</v>
      </c>
      <c r="C37" s="216">
        <v>11</v>
      </c>
      <c r="D37" s="216" t="str">
        <f>main!$B$30</f>
        <v>McLane-PARFLUX-Mark78H-21 ; frame# 14182, funnel# 874, controller# 11741-01 and Motor # 14182-02 Cup set Ex21</v>
      </c>
      <c r="E37" s="216">
        <v>2000</v>
      </c>
      <c r="F37" s="216">
        <v>1</v>
      </c>
      <c r="G37" s="217">
        <f>main!E41</f>
        <v>552.91428571428571</v>
      </c>
      <c r="H37" s="218">
        <f>main!I41</f>
        <v>65.048739495798316</v>
      </c>
      <c r="I37" s="218">
        <f>main!J41</f>
        <v>23.759052100840336</v>
      </c>
      <c r="J37" s="219">
        <v>1</v>
      </c>
      <c r="K37" s="219">
        <f>main!AF41</f>
        <v>71.95002637283919</v>
      </c>
      <c r="L37" s="219">
        <f>main!AG41</f>
        <v>8.6336954860006507</v>
      </c>
      <c r="M37" s="219">
        <v>1</v>
      </c>
      <c r="N37" s="219">
        <f>main!M41</f>
        <v>13.774026870727539</v>
      </c>
      <c r="O37" s="219">
        <v>1</v>
      </c>
      <c r="P37" s="219">
        <f>main!O41</f>
        <v>0.745186448097229</v>
      </c>
      <c r="Q37" s="219">
        <v>1</v>
      </c>
      <c r="R37" s="219">
        <f>main!AH41</f>
        <v>5.1403313847268883</v>
      </c>
      <c r="S37" s="219">
        <v>1</v>
      </c>
      <c r="T37" s="219">
        <f>main!AB41</f>
        <v>4.0042009706992632</v>
      </c>
      <c r="U37" s="219">
        <v>1</v>
      </c>
      <c r="V37" s="219">
        <f>main!AC41</f>
        <v>8.565768470249866</v>
      </c>
      <c r="W37" s="219">
        <f t="shared" si="1"/>
        <v>17.094644252491225</v>
      </c>
      <c r="X37" s="219">
        <f t="shared" si="0"/>
        <v>2.0512842087467948</v>
      </c>
      <c r="Y37" s="219">
        <f t="shared" si="2"/>
        <v>3.2725782205999039</v>
      </c>
      <c r="Z37" s="219">
        <f t="shared" si="3"/>
        <v>0.17704923645182216</v>
      </c>
      <c r="AA37" s="219">
        <f t="shared" si="4"/>
        <v>1.221294011853109</v>
      </c>
      <c r="AB37" s="219">
        <f t="shared" si="5"/>
        <v>2.0351453936840196</v>
      </c>
      <c r="AC37" s="220">
        <f>main!T41</f>
        <v>44485</v>
      </c>
      <c r="AD37" s="220">
        <f>main!U41</f>
        <v>44502</v>
      </c>
      <c r="AE37" s="220">
        <f>main!V41</f>
        <v>44493.5</v>
      </c>
      <c r="AF37" s="217">
        <f>main!H41</f>
        <v>17</v>
      </c>
      <c r="AG37" s="218">
        <f t="shared" si="6"/>
        <v>0.95136019485079248</v>
      </c>
      <c r="AH37" s="218">
        <f t="shared" si="7"/>
        <v>0.27248777856785211</v>
      </c>
      <c r="AI37" s="218">
        <f t="shared" si="8"/>
        <v>1.2637347355590448E-2</v>
      </c>
      <c r="AJ37" s="218">
        <f t="shared" si="9"/>
        <v>0.10168975952149117</v>
      </c>
      <c r="AK37" s="218">
        <f t="shared" si="10"/>
        <v>0.17079801904636094</v>
      </c>
      <c r="AL37" s="218">
        <f t="shared" si="11"/>
        <v>3.3868287463538357E-2</v>
      </c>
      <c r="AM37" s="219">
        <f>depths!$B$3</f>
        <v>2207.9</v>
      </c>
      <c r="AO37" s="219">
        <f t="shared" si="12"/>
        <v>272.4877785678521</v>
      </c>
      <c r="AP37" s="219">
        <v>1</v>
      </c>
      <c r="AQ37" s="219">
        <f t="shared" si="13"/>
        <v>12.637347355590448</v>
      </c>
      <c r="AR37" s="219">
        <v>1</v>
      </c>
      <c r="AS37" s="219">
        <f t="shared" si="14"/>
        <v>101.68975952149117</v>
      </c>
      <c r="AT37" s="219">
        <v>1</v>
      </c>
      <c r="AU37" s="219">
        <f t="shared" si="15"/>
        <v>170.79801904636093</v>
      </c>
      <c r="AV37" s="219">
        <v>1</v>
      </c>
      <c r="AW37" s="219">
        <f t="shared" si="16"/>
        <v>33.868287463538358</v>
      </c>
      <c r="AX37" s="219">
        <v>1</v>
      </c>
      <c r="AY37" s="219">
        <f t="shared" si="17"/>
        <v>8.0467646144510034</v>
      </c>
      <c r="AZ37" s="219">
        <f t="shared" si="18"/>
        <v>13.515337850613415</v>
      </c>
      <c r="BA37" s="219">
        <f>main!R41</f>
        <v>40.119999999999997</v>
      </c>
      <c r="BB37" s="219">
        <v>1</v>
      </c>
      <c r="BC37" s="219">
        <f>main!S41</f>
        <v>8.57</v>
      </c>
      <c r="BD37" s="219">
        <v>1</v>
      </c>
    </row>
    <row r="38" spans="1:56">
      <c r="A38" s="216">
        <f>main!A42</f>
        <v>2021</v>
      </c>
      <c r="B38" s="216" t="str">
        <f>main!B42</f>
        <v>47_2000</v>
      </c>
      <c r="C38" s="216">
        <v>12</v>
      </c>
      <c r="D38" s="216" t="str">
        <f>main!$B$30</f>
        <v>McLane-PARFLUX-Mark78H-21 ; frame# 14182, funnel# 874, controller# 11741-01 and Motor # 14182-02 Cup set Ex21</v>
      </c>
      <c r="E38" s="216">
        <v>2000</v>
      </c>
      <c r="F38" s="216">
        <v>1</v>
      </c>
      <c r="G38" s="217">
        <f>main!E42</f>
        <v>787.27142857142871</v>
      </c>
      <c r="H38" s="218">
        <f>main!I42</f>
        <v>92.620168067226913</v>
      </c>
      <c r="I38" s="218">
        <f>main!J42</f>
        <v>33.82951638655463</v>
      </c>
      <c r="J38" s="219">
        <v>1</v>
      </c>
      <c r="K38" s="219">
        <f>main!AF42</f>
        <v>71.920992794736691</v>
      </c>
      <c r="L38" s="219">
        <f>main!AG42</f>
        <v>8.6302115807841737</v>
      </c>
      <c r="M38" s="219">
        <v>1</v>
      </c>
      <c r="N38" s="219">
        <f>main!M42</f>
        <v>13.801180839538574</v>
      </c>
      <c r="O38" s="219">
        <v>1</v>
      </c>
      <c r="P38" s="219">
        <f>main!O42</f>
        <v>0.7299046516418457</v>
      </c>
      <c r="Q38" s="219">
        <v>1</v>
      </c>
      <c r="R38" s="219">
        <f>main!AH42</f>
        <v>5.1709692587544005</v>
      </c>
      <c r="S38" s="219">
        <v>1</v>
      </c>
      <c r="T38" s="219">
        <f>main!AB42</f>
        <v>4.0059288674033144</v>
      </c>
      <c r="U38" s="219">
        <v>1</v>
      </c>
      <c r="V38" s="219">
        <f>main!AC42</f>
        <v>8.5694647790055249</v>
      </c>
      <c r="W38" s="219">
        <f t="shared" si="1"/>
        <v>24.330524042868223</v>
      </c>
      <c r="X38" s="219">
        <f t="shared" si="0"/>
        <v>2.9195588409157174</v>
      </c>
      <c r="Y38" s="219">
        <f t="shared" si="2"/>
        <v>4.6688727336497395</v>
      </c>
      <c r="Z38" s="219">
        <f t="shared" si="3"/>
        <v>0.24692321373340267</v>
      </c>
      <c r="AA38" s="219">
        <f t="shared" si="4"/>
        <v>1.7493138927340226</v>
      </c>
      <c r="AB38" s="219">
        <f t="shared" si="5"/>
        <v>2.899008491653702</v>
      </c>
      <c r="AC38" s="220">
        <f>main!T42</f>
        <v>44502</v>
      </c>
      <c r="AD38" s="220">
        <f>main!U42</f>
        <v>44519</v>
      </c>
      <c r="AE38" s="220">
        <f>main!V42</f>
        <v>44510.5</v>
      </c>
      <c r="AF38" s="217">
        <f>main!H42</f>
        <v>17</v>
      </c>
      <c r="AG38" s="218">
        <f t="shared" si="6"/>
        <v>1.3551863626319267</v>
      </c>
      <c r="AH38" s="218">
        <f t="shared" si="7"/>
        <v>0.3887487704953988</v>
      </c>
      <c r="AI38" s="218">
        <f t="shared" si="8"/>
        <v>1.7624783278615466E-2</v>
      </c>
      <c r="AJ38" s="218">
        <f t="shared" si="9"/>
        <v>0.14565477874554728</v>
      </c>
      <c r="AK38" s="218">
        <f t="shared" si="10"/>
        <v>0.24309399174985158</v>
      </c>
      <c r="AL38" s="218">
        <f t="shared" si="11"/>
        <v>4.8244441531930464E-2</v>
      </c>
      <c r="AM38" s="219">
        <f>depths!$B$3</f>
        <v>2207.9</v>
      </c>
      <c r="AO38" s="219">
        <f t="shared" si="12"/>
        <v>388.74877049539879</v>
      </c>
      <c r="AP38" s="219">
        <v>1</v>
      </c>
      <c r="AQ38" s="219">
        <f t="shared" si="13"/>
        <v>17.624783278615464</v>
      </c>
      <c r="AR38" s="219">
        <v>1</v>
      </c>
      <c r="AS38" s="219">
        <f t="shared" si="14"/>
        <v>145.65477874554728</v>
      </c>
      <c r="AT38" s="219">
        <v>1</v>
      </c>
      <c r="AU38" s="219">
        <f t="shared" si="15"/>
        <v>243.09399174985157</v>
      </c>
      <c r="AV38" s="219">
        <v>1</v>
      </c>
      <c r="AW38" s="219">
        <f t="shared" si="16"/>
        <v>48.244441531930462</v>
      </c>
      <c r="AX38" s="219">
        <v>1</v>
      </c>
      <c r="AY38" s="219">
        <f t="shared" si="17"/>
        <v>8.2642025404234847</v>
      </c>
      <c r="AZ38" s="219">
        <f t="shared" si="18"/>
        <v>13.792736506712275</v>
      </c>
      <c r="BA38" s="219">
        <f>main!R42</f>
        <v>40.43</v>
      </c>
      <c r="BB38" s="219">
        <v>1</v>
      </c>
      <c r="BC38" s="219">
        <f>main!S42</f>
        <v>8.5500000000000007</v>
      </c>
      <c r="BD38" s="219">
        <v>1</v>
      </c>
    </row>
    <row r="39" spans="1:56">
      <c r="A39" s="216">
        <f>main!A43</f>
        <v>2021</v>
      </c>
      <c r="B39" s="216" t="str">
        <f>main!B43</f>
        <v>47_2000</v>
      </c>
      <c r="C39" s="216">
        <v>13</v>
      </c>
      <c r="D39" s="216" t="str">
        <f>main!$B$30</f>
        <v>McLane-PARFLUX-Mark78H-21 ; frame# 14182, funnel# 874, controller# 11741-01 and Motor # 14182-02 Cup set Ex21</v>
      </c>
      <c r="E39" s="216">
        <v>2000</v>
      </c>
      <c r="F39" s="216">
        <v>1</v>
      </c>
      <c r="G39" s="217">
        <f>main!E43</f>
        <v>769.57142857142867</v>
      </c>
      <c r="H39" s="218">
        <f>main!I43</f>
        <v>90.537815126050432</v>
      </c>
      <c r="I39" s="218">
        <f>main!J43</f>
        <v>33.068936974789921</v>
      </c>
      <c r="J39" s="219">
        <v>1</v>
      </c>
      <c r="K39" s="219">
        <f>main!AF43</f>
        <v>73.245491660516976</v>
      </c>
      <c r="L39" s="219">
        <f>main!AG43</f>
        <v>8.7891457807446223</v>
      </c>
      <c r="M39" s="219">
        <v>1</v>
      </c>
      <c r="N39" s="219">
        <f>main!M43</f>
        <v>13.396884918212891</v>
      </c>
      <c r="O39" s="219">
        <v>1</v>
      </c>
      <c r="P39" s="219">
        <f>main!O43</f>
        <v>0.65326589345932007</v>
      </c>
      <c r="Q39" s="219">
        <v>1</v>
      </c>
      <c r="R39" s="219">
        <f>main!AH43</f>
        <v>4.6077391374682684</v>
      </c>
      <c r="S39" s="219">
        <v>1</v>
      </c>
      <c r="T39" s="219">
        <f>main!AB43</f>
        <v>4.2977634931665509</v>
      </c>
      <c r="U39" s="219">
        <v>1</v>
      </c>
      <c r="V39" s="219">
        <f>main!AC43</f>
        <v>9.1937560806115357</v>
      </c>
      <c r="W39" s="219">
        <f t="shared" si="1"/>
        <v>24.221505474091366</v>
      </c>
      <c r="X39" s="219">
        <f t="shared" si="0"/>
        <v>2.9064770788568466</v>
      </c>
      <c r="Y39" s="219">
        <f t="shared" si="2"/>
        <v>4.4302074301889567</v>
      </c>
      <c r="Z39" s="219">
        <f t="shared" si="3"/>
        <v>0.21602808658586084</v>
      </c>
      <c r="AA39" s="219">
        <f t="shared" si="4"/>
        <v>1.5237303513321103</v>
      </c>
      <c r="AB39" s="219">
        <f t="shared" si="5"/>
        <v>3.0402774039133447</v>
      </c>
      <c r="AC39" s="220">
        <f>main!T43</f>
        <v>44519</v>
      </c>
      <c r="AD39" s="220">
        <f>main!U43</f>
        <v>44536</v>
      </c>
      <c r="AE39" s="220">
        <f>main!V43</f>
        <v>44527.5</v>
      </c>
      <c r="AF39" s="217">
        <f>main!H43</f>
        <v>17</v>
      </c>
      <c r="AG39" s="218">
        <f t="shared" si="6"/>
        <v>1.4212247008807763</v>
      </c>
      <c r="AH39" s="218">
        <f t="shared" si="7"/>
        <v>0.36887655538625785</v>
      </c>
      <c r="AI39" s="218">
        <f t="shared" si="8"/>
        <v>1.5419563639247741E-2</v>
      </c>
      <c r="AJ39" s="218">
        <f t="shared" si="9"/>
        <v>0.12687180277536306</v>
      </c>
      <c r="AK39" s="218">
        <f t="shared" si="10"/>
        <v>0.2420047526108948</v>
      </c>
      <c r="AL39" s="218">
        <f t="shared" si="11"/>
        <v>5.059539696976776E-2</v>
      </c>
      <c r="AM39" s="219">
        <f>depths!$B$3</f>
        <v>2207.9</v>
      </c>
      <c r="AO39" s="219">
        <f t="shared" si="12"/>
        <v>368.87655538625785</v>
      </c>
      <c r="AP39" s="219">
        <v>1</v>
      </c>
      <c r="AQ39" s="219">
        <f t="shared" si="13"/>
        <v>15.419563639247741</v>
      </c>
      <c r="AR39" s="219">
        <v>1</v>
      </c>
      <c r="AS39" s="219">
        <f t="shared" si="14"/>
        <v>126.87180277536305</v>
      </c>
      <c r="AT39" s="219">
        <v>1</v>
      </c>
      <c r="AU39" s="219">
        <f t="shared" si="15"/>
        <v>242.0047526108948</v>
      </c>
      <c r="AV39" s="219">
        <v>1</v>
      </c>
      <c r="AW39" s="219">
        <f t="shared" si="16"/>
        <v>50.595396969767762</v>
      </c>
      <c r="AX39" s="219">
        <v>1</v>
      </c>
      <c r="AY39" s="219">
        <f t="shared" si="17"/>
        <v>8.2279762089008521</v>
      </c>
      <c r="AZ39" s="219">
        <f t="shared" si="18"/>
        <v>15.694656364653211</v>
      </c>
      <c r="BA39" s="219">
        <f>main!R43</f>
        <v>40.4</v>
      </c>
      <c r="BB39" s="219">
        <v>1</v>
      </c>
      <c r="BC39" s="219">
        <f>main!S43</f>
        <v>8.5500000000000007</v>
      </c>
      <c r="BD39" s="219">
        <v>1</v>
      </c>
    </row>
    <row r="40" spans="1:56">
      <c r="A40" s="216">
        <f>main!A44</f>
        <v>2021</v>
      </c>
      <c r="B40" s="216" t="str">
        <f>main!B44</f>
        <v>47_2000</v>
      </c>
      <c r="C40" s="216">
        <v>14</v>
      </c>
      <c r="D40" s="216" t="str">
        <f>main!$B$30</f>
        <v>McLane-PARFLUX-Mark78H-21 ; frame# 14182, funnel# 874, controller# 11741-01 and Motor # 14182-02 Cup set Ex21</v>
      </c>
      <c r="E40" s="216">
        <v>2000</v>
      </c>
      <c r="F40" s="216">
        <v>1</v>
      </c>
      <c r="G40" s="217">
        <f>main!E44</f>
        <v>867.31428571428569</v>
      </c>
      <c r="H40" s="218">
        <f>main!I44</f>
        <v>102.03697478991596</v>
      </c>
      <c r="I40" s="218">
        <f>main!J44</f>
        <v>37.269005042016808</v>
      </c>
      <c r="J40" s="219">
        <v>1</v>
      </c>
      <c r="K40" s="219">
        <f>main!AF44</f>
        <v>71.321726370593183</v>
      </c>
      <c r="L40" s="219">
        <f>main!AG44</f>
        <v>8.558302172520321</v>
      </c>
      <c r="M40" s="219">
        <v>1</v>
      </c>
      <c r="N40" s="219">
        <f>main!M44</f>
        <v>12.523312568664551</v>
      </c>
      <c r="O40" s="219">
        <v>1</v>
      </c>
      <c r="P40" s="219">
        <f>main!O44</f>
        <v>0.56312376260757446</v>
      </c>
      <c r="Q40" s="219">
        <v>1</v>
      </c>
      <c r="R40" s="219">
        <f>main!AH44</f>
        <v>3.9650103961442298</v>
      </c>
      <c r="S40" s="219">
        <v>1</v>
      </c>
      <c r="T40" s="219">
        <f>main!AB44</f>
        <v>6.0145513583606149</v>
      </c>
      <c r="U40" s="219">
        <v>1</v>
      </c>
      <c r="V40" s="219">
        <f>main!AC44</f>
        <v>12.866300858807026</v>
      </c>
      <c r="W40" s="219">
        <f>(K40/100)*$I40</f>
        <v>26.580897797109806</v>
      </c>
      <c r="X40" s="219">
        <f t="shared" si="0"/>
        <v>3.1895940681876325</v>
      </c>
      <c r="Y40" s="219">
        <f>(N40/100)*$I40</f>
        <v>4.6673139926431162</v>
      </c>
      <c r="Z40" s="219">
        <f>(P40/100)*$I40</f>
        <v>0.2098706234790117</v>
      </c>
      <c r="AA40" s="219">
        <f>(R40/100)*$I40</f>
        <v>1.4777199244554837</v>
      </c>
      <c r="AB40" s="219">
        <f>(V40/100)*$I40</f>
        <v>4.7951423157898425</v>
      </c>
      <c r="AC40" s="220">
        <f>main!T44</f>
        <v>44536</v>
      </c>
      <c r="AD40" s="220">
        <f>main!U44</f>
        <v>44553</v>
      </c>
      <c r="AE40" s="220">
        <f>main!V44</f>
        <v>44544.5</v>
      </c>
      <c r="AF40" s="217">
        <f>main!H44</f>
        <v>17</v>
      </c>
      <c r="AG40" s="218">
        <f>(T40/100)*$I40</f>
        <v>2.2415634490021077</v>
      </c>
      <c r="AH40" s="218">
        <f>Y40/12.01</f>
        <v>0.38861898356728697</v>
      </c>
      <c r="AI40" s="218">
        <f>Z40/14.01</f>
        <v>1.4980058777945161E-2</v>
      </c>
      <c r="AJ40" s="218">
        <f>AA40/12.01</f>
        <v>0.12304079304375386</v>
      </c>
      <c r="AK40" s="218">
        <f>X40/12.01</f>
        <v>0.2655781905235331</v>
      </c>
      <c r="AL40" s="218">
        <f>AG40/28.09</f>
        <v>7.9799339587116686E-2</v>
      </c>
      <c r="AM40" s="219">
        <f>depths!$B$3</f>
        <v>2207.9</v>
      </c>
      <c r="AO40" s="219">
        <f>AH40*1000</f>
        <v>388.61898356728699</v>
      </c>
      <c r="AP40" s="219">
        <v>1</v>
      </c>
      <c r="AQ40" s="219">
        <f>AI40*1000</f>
        <v>14.98005877794516</v>
      </c>
      <c r="AR40" s="219">
        <v>1</v>
      </c>
      <c r="AS40" s="219">
        <f>AJ40*1000</f>
        <v>123.04079304375385</v>
      </c>
      <c r="AT40" s="219">
        <v>1</v>
      </c>
      <c r="AU40" s="219">
        <f>AK40*1000</f>
        <v>265.57819052353312</v>
      </c>
      <c r="AV40" s="219">
        <v>1</v>
      </c>
      <c r="AW40" s="219">
        <f>AL40*1000</f>
        <v>79.799339587116691</v>
      </c>
      <c r="AX40" s="219">
        <v>1</v>
      </c>
      <c r="AY40" s="219">
        <f>AS40/AQ40</f>
        <v>8.2136388693550622</v>
      </c>
      <c r="AZ40" s="219">
        <f>AU40/AQ40</f>
        <v>17.728781606287058</v>
      </c>
      <c r="BA40" s="219">
        <f>main!R44</f>
        <v>40.29</v>
      </c>
      <c r="BB40" s="219">
        <v>1</v>
      </c>
      <c r="BC40" s="219">
        <f>main!S44</f>
        <v>8.56</v>
      </c>
      <c r="BD40" s="219">
        <v>1</v>
      </c>
    </row>
    <row r="41" spans="1:56">
      <c r="A41" s="216">
        <f>main!A45</f>
        <v>2021</v>
      </c>
      <c r="B41" s="216" t="str">
        <f>main!B45</f>
        <v>47_2000</v>
      </c>
      <c r="C41" s="216">
        <v>15</v>
      </c>
      <c r="D41" s="216" t="str">
        <f>main!$B$30</f>
        <v>McLane-PARFLUX-Mark78H-21 ; frame# 14182, funnel# 874, controller# 11741-01 and Motor # 14182-02 Cup set Ex21</v>
      </c>
      <c r="E41" s="216">
        <v>2000</v>
      </c>
      <c r="F41" s="216">
        <v>1</v>
      </c>
      <c r="G41" s="217">
        <f>main!E45</f>
        <v>818.57142857142867</v>
      </c>
      <c r="H41" s="218">
        <f>main!I45</f>
        <v>96.302521008403374</v>
      </c>
      <c r="I41" s="218">
        <f>main!J45</f>
        <v>35.174495798319334</v>
      </c>
      <c r="J41" s="219">
        <v>1</v>
      </c>
      <c r="K41" s="219">
        <f>main!AF45</f>
        <v>62.153693182149141</v>
      </c>
      <c r="L41" s="219">
        <f>main!AG45</f>
        <v>7.4581773950198391</v>
      </c>
      <c r="M41" s="219">
        <v>1</v>
      </c>
      <c r="N41" s="219">
        <f>main!M45</f>
        <v>13.733110427856445</v>
      </c>
      <c r="O41" s="219">
        <v>1</v>
      </c>
      <c r="P41" s="219">
        <f>main!O45</f>
        <v>1.1129355430603027</v>
      </c>
      <c r="Q41" s="219">
        <v>1</v>
      </c>
      <c r="R41" s="219">
        <f>main!AH45</f>
        <v>6.2749330328366062</v>
      </c>
      <c r="S41" s="219">
        <v>1</v>
      </c>
      <c r="T41" s="219">
        <f>main!AB45</f>
        <v>7.4566302159198017</v>
      </c>
      <c r="U41" s="219">
        <v>1</v>
      </c>
      <c r="V41" s="219">
        <f>main!AC45</f>
        <v>15.951189379658986</v>
      </c>
      <c r="W41" s="219">
        <f t="shared" ref="W41:W68" si="30">(K41/100)*$I41</f>
        <v>21.86224819685534</v>
      </c>
      <c r="X41" s="219">
        <f t="shared" si="0"/>
        <v>2.6233762944424557</v>
      </c>
      <c r="Y41" s="219">
        <f t="shared" ref="Y41:Y68" si="31">(N41/100)*$I41</f>
        <v>4.8305523504249201</v>
      </c>
      <c r="Z41" s="219">
        <f t="shared" ref="Z41:Z68" si="32">(P41/100)*$I41</f>
        <v>0.39146946583174869</v>
      </c>
      <c r="AA41" s="219">
        <f t="shared" ref="AA41:AA68" si="33">(R41/100)*$I41</f>
        <v>2.207176055982464</v>
      </c>
      <c r="AB41" s="219">
        <f t="shared" ref="AB41:AB68" si="34">(V41/100)*$I41</f>
        <v>5.6107504381301103</v>
      </c>
      <c r="AC41" s="220">
        <f>main!T45</f>
        <v>44553</v>
      </c>
      <c r="AD41" s="220">
        <f>main!U45</f>
        <v>44570</v>
      </c>
      <c r="AE41" s="220">
        <f>main!V45</f>
        <v>44561.5</v>
      </c>
      <c r="AF41" s="217">
        <f>main!H45</f>
        <v>17</v>
      </c>
      <c r="AG41" s="218">
        <f t="shared" ref="AG41:AG68" si="35">(T41/100)*$I41</f>
        <v>2.6228320819949205</v>
      </c>
      <c r="AH41" s="218">
        <f t="shared" ref="AH41:AH68" si="36">Y41/12.01</f>
        <v>0.4022108534908343</v>
      </c>
      <c r="AI41" s="218">
        <f t="shared" ref="AI41:AI68" si="37">Z41/14.01</f>
        <v>2.7942146026534526E-2</v>
      </c>
      <c r="AJ41" s="218">
        <f t="shared" ref="AJ41:AJ68" si="38">AA41/12.01</f>
        <v>0.18377818950728261</v>
      </c>
      <c r="AK41" s="218">
        <f t="shared" ref="AK41:AK68" si="39">X41/12.01</f>
        <v>0.21843266398355168</v>
      </c>
      <c r="AL41" s="218">
        <f t="shared" ref="AL41:AL68" si="40">AG41/28.09</f>
        <v>9.3372448629224655E-2</v>
      </c>
      <c r="AM41" s="219">
        <f>depths!$B$3</f>
        <v>2207.9</v>
      </c>
      <c r="AO41" s="219">
        <f t="shared" ref="AO41:AO68" si="41">AH41*1000</f>
        <v>402.21085349083432</v>
      </c>
      <c r="AP41" s="219">
        <v>1</v>
      </c>
      <c r="AQ41" s="219">
        <f t="shared" ref="AQ41:AQ68" si="42">AI41*1000</f>
        <v>27.942146026534527</v>
      </c>
      <c r="AR41" s="219">
        <v>1</v>
      </c>
      <c r="AS41" s="219">
        <f t="shared" ref="AS41:AS68" si="43">AJ41*1000</f>
        <v>183.7781895072826</v>
      </c>
      <c r="AT41" s="219">
        <v>1</v>
      </c>
      <c r="AU41" s="219">
        <f t="shared" ref="AU41:AU68" si="44">AK41*1000</f>
        <v>218.43266398355169</v>
      </c>
      <c r="AV41" s="219">
        <v>1</v>
      </c>
      <c r="AW41" s="219">
        <f t="shared" ref="AW41:AW68" si="45">AL41*1000</f>
        <v>93.37244862922465</v>
      </c>
      <c r="AX41" s="219">
        <v>1</v>
      </c>
      <c r="AY41" s="219">
        <f t="shared" ref="AY41:AY68" si="46">AS41/AQ41</f>
        <v>6.5770964525331186</v>
      </c>
      <c r="AZ41" s="219">
        <f t="shared" ref="AZ41:AZ68" si="47">AU41/AQ41</f>
        <v>7.8173188192532823</v>
      </c>
      <c r="BA41" s="219">
        <f>main!R45</f>
        <v>39.74</v>
      </c>
      <c r="BB41" s="219">
        <v>1</v>
      </c>
      <c r="BC41" s="219">
        <f>main!S45</f>
        <v>8.48</v>
      </c>
      <c r="BD41" s="219">
        <v>1</v>
      </c>
    </row>
    <row r="42" spans="1:56">
      <c r="A42" s="216">
        <f>main!A46</f>
        <v>2021</v>
      </c>
      <c r="B42" s="216" t="str">
        <f>main!B46</f>
        <v>47_2000</v>
      </c>
      <c r="C42" s="216">
        <v>16</v>
      </c>
      <c r="D42" s="216" t="str">
        <f>main!$B$30</f>
        <v>McLane-PARFLUX-Mark78H-21 ; frame# 14182, funnel# 874, controller# 11741-01 and Motor # 14182-02 Cup set Ex21</v>
      </c>
      <c r="E42" s="216">
        <v>2000</v>
      </c>
      <c r="F42" s="216">
        <v>1</v>
      </c>
      <c r="G42" s="217">
        <f>main!E46</f>
        <v>1713.0714285714289</v>
      </c>
      <c r="H42" s="218">
        <f>main!I46</f>
        <v>201.53781512605045</v>
      </c>
      <c r="I42" s="218">
        <f>main!J46</f>
        <v>73.611686974789933</v>
      </c>
      <c r="J42" s="219">
        <v>1</v>
      </c>
      <c r="K42" s="219">
        <f>main!AF46</f>
        <v>45.86546712304547</v>
      </c>
      <c r="L42" s="219">
        <f>main!AG46</f>
        <v>5.5036599210064061</v>
      </c>
      <c r="M42" s="219">
        <v>1</v>
      </c>
      <c r="N42" s="219">
        <f>main!M46</f>
        <v>12.76450252532959</v>
      </c>
      <c r="O42" s="219">
        <v>1</v>
      </c>
      <c r="P42" s="219">
        <f>main!O46</f>
        <v>1.0453460216522217</v>
      </c>
      <c r="Q42" s="219">
        <v>1</v>
      </c>
      <c r="R42" s="219">
        <f>main!AH46</f>
        <v>7.2608426043231837</v>
      </c>
      <c r="S42" s="219">
        <v>1</v>
      </c>
      <c r="T42" s="219">
        <f>main!AB46</f>
        <v>13.6199138165038</v>
      </c>
      <c r="U42" s="219">
        <v>2</v>
      </c>
      <c r="V42" s="219">
        <f>main!AC46</f>
        <v>29.135657573289901</v>
      </c>
      <c r="W42" s="219">
        <f t="shared" si="30"/>
        <v>33.762344088141418</v>
      </c>
      <c r="X42" s="219">
        <f t="shared" si="0"/>
        <v>4.0513369132082069</v>
      </c>
      <c r="Y42" s="219">
        <f t="shared" si="31"/>
        <v>9.3961656428347737</v>
      </c>
      <c r="Z42" s="219">
        <f t="shared" si="32"/>
        <v>0.7694968412620532</v>
      </c>
      <c r="AA42" s="219">
        <f t="shared" si="33"/>
        <v>5.3448287296265669</v>
      </c>
      <c r="AB42" s="219">
        <f t="shared" si="34"/>
        <v>21.44724905089684</v>
      </c>
      <c r="AC42" s="220">
        <f>main!T46</f>
        <v>44570</v>
      </c>
      <c r="AD42" s="220">
        <f>main!U46</f>
        <v>44587</v>
      </c>
      <c r="AE42" s="220">
        <f>main!V46</f>
        <v>44578.5</v>
      </c>
      <c r="AF42" s="217">
        <f>main!H46</f>
        <v>17</v>
      </c>
      <c r="AG42" s="218">
        <f t="shared" si="35"/>
        <v>10.025848324840943</v>
      </c>
      <c r="AH42" s="218">
        <f t="shared" si="36"/>
        <v>0.78236183537341997</v>
      </c>
      <c r="AI42" s="218">
        <f t="shared" si="37"/>
        <v>5.492482807009659E-2</v>
      </c>
      <c r="AJ42" s="218">
        <f t="shared" si="38"/>
        <v>0.44503153452344435</v>
      </c>
      <c r="AK42" s="218">
        <f t="shared" si="39"/>
        <v>0.33733030084997562</v>
      </c>
      <c r="AL42" s="218">
        <f t="shared" si="40"/>
        <v>0.35691877268924682</v>
      </c>
      <c r="AM42" s="219">
        <f>depths!$B$3</f>
        <v>2207.9</v>
      </c>
      <c r="AO42" s="219">
        <f t="shared" si="41"/>
        <v>782.36183537341992</v>
      </c>
      <c r="AP42" s="219">
        <v>1</v>
      </c>
      <c r="AQ42" s="219">
        <f t="shared" si="42"/>
        <v>54.924828070096588</v>
      </c>
      <c r="AR42" s="219">
        <v>1</v>
      </c>
      <c r="AS42" s="219">
        <f t="shared" si="43"/>
        <v>445.03153452344435</v>
      </c>
      <c r="AT42" s="219">
        <v>1</v>
      </c>
      <c r="AU42" s="219">
        <f t="shared" si="44"/>
        <v>337.33030084997563</v>
      </c>
      <c r="AV42" s="219">
        <v>1</v>
      </c>
      <c r="AW42" s="219">
        <f t="shared" si="45"/>
        <v>356.91877268924679</v>
      </c>
      <c r="AX42" s="219">
        <v>2</v>
      </c>
      <c r="AY42" s="219">
        <f t="shared" si="46"/>
        <v>8.1025567154344618</v>
      </c>
      <c r="AZ42" s="219">
        <f t="shared" si="47"/>
        <v>6.141672403953006</v>
      </c>
      <c r="BA42" s="219">
        <f>main!R46</f>
        <v>39.159999999999997</v>
      </c>
      <c r="BB42" s="219">
        <v>1</v>
      </c>
      <c r="BC42" s="219">
        <f>main!S46</f>
        <v>8.4499999999999993</v>
      </c>
      <c r="BD42" s="219">
        <v>1</v>
      </c>
    </row>
    <row r="43" spans="1:56" s="36" customFormat="1">
      <c r="A43" s="36">
        <f>main!A47</f>
        <v>2021</v>
      </c>
      <c r="B43" s="36" t="str">
        <f>main!B47</f>
        <v>47_2000</v>
      </c>
      <c r="C43" s="36">
        <v>17</v>
      </c>
      <c r="D43" s="36" t="str">
        <f>main!$B$30</f>
        <v>McLane-PARFLUX-Mark78H-21 ; frame# 14182, funnel# 874, controller# 11741-01 and Motor # 14182-02 Cup set Ex21</v>
      </c>
      <c r="E43" s="36">
        <v>2000</v>
      </c>
      <c r="F43" s="36">
        <v>1</v>
      </c>
      <c r="G43" s="493">
        <f>main!E47</f>
        <v>1153.5714285714287</v>
      </c>
      <c r="H43" s="257">
        <f>main!I47</f>
        <v>135.71428571428572</v>
      </c>
      <c r="I43" s="257">
        <f>main!J47</f>
        <v>49.569642857142867</v>
      </c>
      <c r="J43" s="259">
        <v>1</v>
      </c>
      <c r="K43" s="259">
        <f>main!AF47</f>
        <v>47.520875354083962</v>
      </c>
      <c r="L43" s="259">
        <f>main!AG47</f>
        <v>5.7023018297354433</v>
      </c>
      <c r="M43" s="259">
        <v>1</v>
      </c>
      <c r="N43" s="259">
        <f>main!M47</f>
        <v>12.828253269195557</v>
      </c>
      <c r="O43" s="259">
        <v>1</v>
      </c>
      <c r="P43" s="259">
        <f>main!O47</f>
        <v>1.0469846725463867</v>
      </c>
      <c r="Q43" s="259">
        <v>1</v>
      </c>
      <c r="R43" s="259">
        <f>main!AH47</f>
        <v>7.1259514394601133</v>
      </c>
      <c r="S43" s="259">
        <v>1</v>
      </c>
      <c r="T43" s="259">
        <f>main!AB47</f>
        <v>12.655903717881202</v>
      </c>
      <c r="U43" s="259">
        <v>3</v>
      </c>
      <c r="V43" s="259">
        <f>main!AC47</f>
        <v>27.07345156310009</v>
      </c>
      <c r="W43" s="259">
        <f t="shared" si="30"/>
        <v>23.555928195607446</v>
      </c>
      <c r="X43" s="259">
        <f t="shared" si="0"/>
        <v>2.8266106516361824</v>
      </c>
      <c r="Y43" s="259">
        <f t="shared" si="31"/>
        <v>6.3589193303499911</v>
      </c>
      <c r="Z43" s="259">
        <f t="shared" si="32"/>
        <v>0.51898656295027068</v>
      </c>
      <c r="AA43" s="259">
        <f t="shared" si="33"/>
        <v>3.5323086787138096</v>
      </c>
      <c r="AB43" s="259">
        <f t="shared" si="34"/>
        <v>13.420213248930276</v>
      </c>
      <c r="AC43" s="494">
        <f>main!T47</f>
        <v>44587</v>
      </c>
      <c r="AD43" s="494">
        <f>main!U47</f>
        <v>44604</v>
      </c>
      <c r="AE43" s="494">
        <f>main!V47</f>
        <v>44595.5</v>
      </c>
      <c r="AF43" s="493">
        <f>main!H47</f>
        <v>17</v>
      </c>
      <c r="AG43" s="257">
        <f t="shared" si="35"/>
        <v>6.2734862732975767</v>
      </c>
      <c r="AH43" s="257">
        <f t="shared" si="36"/>
        <v>0.52946872026228076</v>
      </c>
      <c r="AI43" s="257">
        <f t="shared" si="37"/>
        <v>3.70440087758937E-2</v>
      </c>
      <c r="AJ43" s="257">
        <f t="shared" si="38"/>
        <v>0.29411396159149122</v>
      </c>
      <c r="AK43" s="257">
        <f t="shared" si="39"/>
        <v>0.23535475867078956</v>
      </c>
      <c r="AL43" s="257">
        <f t="shared" si="40"/>
        <v>0.22333521798852177</v>
      </c>
      <c r="AM43" s="259">
        <f>depths!$B$3</f>
        <v>2207.9</v>
      </c>
      <c r="AO43" s="259">
        <f t="shared" si="41"/>
        <v>529.46872026228073</v>
      </c>
      <c r="AP43" s="259">
        <v>1</v>
      </c>
      <c r="AQ43" s="259">
        <f t="shared" si="42"/>
        <v>37.044008775893701</v>
      </c>
      <c r="AR43" s="259">
        <v>1</v>
      </c>
      <c r="AS43" s="259">
        <f t="shared" si="43"/>
        <v>294.1139615914912</v>
      </c>
      <c r="AT43" s="259">
        <v>1</v>
      </c>
      <c r="AU43" s="259">
        <f t="shared" si="44"/>
        <v>235.35475867078955</v>
      </c>
      <c r="AV43" s="259">
        <v>1</v>
      </c>
      <c r="AW43" s="259">
        <f t="shared" si="45"/>
        <v>223.33521798852178</v>
      </c>
      <c r="AX43" s="259">
        <v>3</v>
      </c>
      <c r="AY43" s="259">
        <f t="shared" si="46"/>
        <v>7.9395824401943544</v>
      </c>
      <c r="AZ43" s="259">
        <f t="shared" si="47"/>
        <v>6.3533825427648125</v>
      </c>
      <c r="BA43" s="259">
        <f>main!R47</f>
        <v>39.54</v>
      </c>
      <c r="BB43" s="259">
        <v>1</v>
      </c>
      <c r="BC43" s="259">
        <f>main!S47</f>
        <v>8.52</v>
      </c>
      <c r="BD43" s="259">
        <v>1</v>
      </c>
    </row>
    <row r="44" spans="1:56" s="36" customFormat="1">
      <c r="A44" s="36">
        <f>main!A48</f>
        <v>2021</v>
      </c>
      <c r="B44" s="36" t="str">
        <f>main!B48</f>
        <v>47_2000</v>
      </c>
      <c r="C44" s="36">
        <v>18</v>
      </c>
      <c r="D44" s="36" t="str">
        <f>main!$B$30</f>
        <v>McLane-PARFLUX-Mark78H-21 ; frame# 14182, funnel# 874, controller# 11741-01 and Motor # 14182-02 Cup set Ex21</v>
      </c>
      <c r="E44" s="36">
        <v>2000</v>
      </c>
      <c r="F44" s="36">
        <v>1</v>
      </c>
      <c r="G44" s="493">
        <f>main!E48</f>
        <v>720.6285714285716</v>
      </c>
      <c r="H44" s="257">
        <f>main!I48</f>
        <v>84.779831932773135</v>
      </c>
      <c r="I44" s="257">
        <f>main!J48</f>
        <v>30.965833613445383</v>
      </c>
      <c r="J44" s="259">
        <v>1</v>
      </c>
      <c r="K44" s="259">
        <f>main!AF48</f>
        <v>51.782964065476811</v>
      </c>
      <c r="L44" s="259">
        <f>main!AG48</f>
        <v>6.2137342492012086</v>
      </c>
      <c r="M44" s="259">
        <v>1</v>
      </c>
      <c r="N44" s="259">
        <f>main!M48</f>
        <v>14.649021148681641</v>
      </c>
      <c r="O44" s="259">
        <v>1</v>
      </c>
      <c r="P44" s="259">
        <f>main!O48</f>
        <v>1.2081836462020874</v>
      </c>
      <c r="Q44" s="259">
        <v>1</v>
      </c>
      <c r="R44" s="259">
        <f>main!AH48</f>
        <v>8.4352868994804311</v>
      </c>
      <c r="S44" s="259">
        <v>1</v>
      </c>
      <c r="T44" s="259">
        <f>main!AB48</f>
        <v>8.8911986531280149</v>
      </c>
      <c r="U44" s="259">
        <v>3</v>
      </c>
      <c r="V44" s="259">
        <f>main!AC48</f>
        <v>19.020011643519489</v>
      </c>
      <c r="W44" s="259">
        <f t="shared" si="30"/>
        <v>16.035026492625761</v>
      </c>
      <c r="X44" s="259">
        <f t="shared" si="0"/>
        <v>1.9241346087893161</v>
      </c>
      <c r="Y44" s="259">
        <f t="shared" si="31"/>
        <v>4.5361915148991825</v>
      </c>
      <c r="Z44" s="259">
        <f t="shared" si="32"/>
        <v>0.37412413762779601</v>
      </c>
      <c r="AA44" s="259">
        <f t="shared" si="33"/>
        <v>2.6120569061098662</v>
      </c>
      <c r="AB44" s="259">
        <f t="shared" si="34"/>
        <v>5.889705158790183</v>
      </c>
      <c r="AC44" s="494">
        <f>main!T48</f>
        <v>44604</v>
      </c>
      <c r="AD44" s="494">
        <f>main!U48</f>
        <v>44621</v>
      </c>
      <c r="AE44" s="494">
        <f>main!V48</f>
        <v>44612.5</v>
      </c>
      <c r="AF44" s="493">
        <f>main!H48</f>
        <v>17</v>
      </c>
      <c r="AG44" s="257">
        <f t="shared" si="35"/>
        <v>2.7532337811685177</v>
      </c>
      <c r="AH44" s="257">
        <f t="shared" si="36"/>
        <v>0.37770120856779205</v>
      </c>
      <c r="AI44" s="257">
        <f t="shared" si="37"/>
        <v>2.6704078346023983E-2</v>
      </c>
      <c r="AJ44" s="257">
        <f t="shared" si="38"/>
        <v>0.21749016703662499</v>
      </c>
      <c r="AK44" s="257">
        <f t="shared" si="39"/>
        <v>0.16021104153116703</v>
      </c>
      <c r="AL44" s="257">
        <f t="shared" si="40"/>
        <v>9.8014730550677026E-2</v>
      </c>
      <c r="AM44" s="259">
        <f>depths!$B$3</f>
        <v>2207.9</v>
      </c>
      <c r="AO44" s="259">
        <f t="shared" si="41"/>
        <v>377.70120856779204</v>
      </c>
      <c r="AP44" s="259">
        <v>1</v>
      </c>
      <c r="AQ44" s="259">
        <f t="shared" si="42"/>
        <v>26.704078346023984</v>
      </c>
      <c r="AR44" s="259">
        <v>1</v>
      </c>
      <c r="AS44" s="259">
        <f t="shared" si="43"/>
        <v>217.490167036625</v>
      </c>
      <c r="AT44" s="259">
        <v>1</v>
      </c>
      <c r="AU44" s="259">
        <f t="shared" si="44"/>
        <v>160.21104153116701</v>
      </c>
      <c r="AV44" s="259">
        <v>1</v>
      </c>
      <c r="AW44" s="259">
        <f t="shared" si="45"/>
        <v>98.014730550677029</v>
      </c>
      <c r="AX44" s="259">
        <v>3</v>
      </c>
      <c r="AY44" s="259">
        <f t="shared" si="46"/>
        <v>8.1444550985227124</v>
      </c>
      <c r="AZ44" s="259">
        <f t="shared" si="47"/>
        <v>5.9994971350516995</v>
      </c>
      <c r="BA44" s="259">
        <f>main!R48</f>
        <v>40.119999999999997</v>
      </c>
      <c r="BB44" s="259">
        <v>1</v>
      </c>
      <c r="BC44" s="259">
        <f>main!S48</f>
        <v>8.5500000000000007</v>
      </c>
      <c r="BD44" s="259">
        <v>1</v>
      </c>
    </row>
    <row r="45" spans="1:56" s="36" customFormat="1">
      <c r="A45" s="36">
        <f>main!A49</f>
        <v>2021</v>
      </c>
      <c r="B45" s="36" t="str">
        <f>main!B49</f>
        <v>47_2000</v>
      </c>
      <c r="C45" s="36">
        <v>19</v>
      </c>
      <c r="D45" s="36" t="str">
        <f>main!$B$30</f>
        <v>McLane-PARFLUX-Mark78H-21 ; frame# 14182, funnel# 874, controller# 11741-01 and Motor # 14182-02 Cup set Ex21</v>
      </c>
      <c r="E45" s="36">
        <v>2000</v>
      </c>
      <c r="F45" s="36">
        <v>1</v>
      </c>
      <c r="G45" s="493">
        <f>main!E49</f>
        <v>450.4571428571428</v>
      </c>
      <c r="H45" s="257">
        <f>main!I49</f>
        <v>52.994957983193274</v>
      </c>
      <c r="I45" s="257">
        <f>main!J49</f>
        <v>19.356408403361343</v>
      </c>
      <c r="J45" s="259">
        <v>1</v>
      </c>
      <c r="K45" s="259">
        <f>main!AF49</f>
        <v>59.882213227238921</v>
      </c>
      <c r="L45" s="259">
        <f>main!AG49</f>
        <v>7.1856095139237945</v>
      </c>
      <c r="M45" s="259">
        <v>1</v>
      </c>
      <c r="N45" s="259">
        <f>main!M49</f>
        <v>14.125002861022949</v>
      </c>
      <c r="O45" s="259">
        <v>1</v>
      </c>
      <c r="P45" s="259">
        <f>main!O49</f>
        <v>1.0670485496520996</v>
      </c>
      <c r="Q45" s="259">
        <v>1</v>
      </c>
      <c r="R45" s="259">
        <f>main!AH49</f>
        <v>6.9393933470991547</v>
      </c>
      <c r="S45" s="259">
        <v>1</v>
      </c>
      <c r="T45" s="259">
        <f>main!AB49</f>
        <v>7.9501352592895067</v>
      </c>
      <c r="U45" s="259">
        <v>3</v>
      </c>
      <c r="V45" s="259">
        <f>main!AC49</f>
        <v>17.006893119640669</v>
      </c>
      <c r="W45" s="259">
        <f t="shared" si="30"/>
        <v>11.591045753236033</v>
      </c>
      <c r="X45" s="259">
        <f t="shared" si="0"/>
        <v>1.3908759237858777</v>
      </c>
      <c r="Y45" s="259">
        <f t="shared" si="31"/>
        <v>2.7340932407660765</v>
      </c>
      <c r="Z45" s="259">
        <f t="shared" si="32"/>
        <v>0.20654227513280435</v>
      </c>
      <c r="AA45" s="259">
        <f t="shared" si="33"/>
        <v>1.3432173169801986</v>
      </c>
      <c r="AB45" s="259">
        <f t="shared" si="34"/>
        <v>3.2919236889608081</v>
      </c>
      <c r="AC45" s="494">
        <f>main!T49</f>
        <v>44621</v>
      </c>
      <c r="AD45" s="494">
        <f>main!U49</f>
        <v>44638</v>
      </c>
      <c r="AE45" s="494">
        <f>main!V49</f>
        <v>44629.5</v>
      </c>
      <c r="AF45" s="493">
        <f>main!H49</f>
        <v>17</v>
      </c>
      <c r="AG45" s="257">
        <f t="shared" si="35"/>
        <v>1.5388606494077071</v>
      </c>
      <c r="AH45" s="257">
        <f t="shared" si="36"/>
        <v>0.2276513939022545</v>
      </c>
      <c r="AI45" s="257">
        <f t="shared" si="37"/>
        <v>1.4742489302841139E-2</v>
      </c>
      <c r="AJ45" s="257">
        <f t="shared" si="38"/>
        <v>0.1118415751024312</v>
      </c>
      <c r="AK45" s="257">
        <f t="shared" si="39"/>
        <v>0.11580981879982329</v>
      </c>
      <c r="AL45" s="257">
        <f t="shared" si="40"/>
        <v>5.4783219986034429E-2</v>
      </c>
      <c r="AM45" s="259">
        <f>depths!$B$3</f>
        <v>2207.9</v>
      </c>
      <c r="AO45" s="259">
        <f t="shared" si="41"/>
        <v>227.65139390225451</v>
      </c>
      <c r="AP45" s="259">
        <v>1</v>
      </c>
      <c r="AQ45" s="259">
        <f t="shared" si="42"/>
        <v>14.742489302841138</v>
      </c>
      <c r="AR45" s="259">
        <v>1</v>
      </c>
      <c r="AS45" s="259">
        <f t="shared" si="43"/>
        <v>111.84157510243121</v>
      </c>
      <c r="AT45" s="259">
        <v>1</v>
      </c>
      <c r="AU45" s="259">
        <f t="shared" si="44"/>
        <v>115.80981879982329</v>
      </c>
      <c r="AV45" s="259">
        <v>1</v>
      </c>
      <c r="AW45" s="259">
        <f t="shared" si="45"/>
        <v>54.783219986034432</v>
      </c>
      <c r="AX45" s="259">
        <v>3</v>
      </c>
      <c r="AY45" s="259">
        <f t="shared" si="46"/>
        <v>7.5863426321684599</v>
      </c>
      <c r="AZ45" s="259">
        <f t="shared" si="47"/>
        <v>7.855513164761442</v>
      </c>
      <c r="BA45" s="259">
        <f>main!R49</f>
        <v>40.25</v>
      </c>
      <c r="BB45" s="259">
        <v>1</v>
      </c>
      <c r="BC45" s="259">
        <f>main!S49</f>
        <v>8.57</v>
      </c>
      <c r="BD45" s="259">
        <v>1</v>
      </c>
    </row>
    <row r="46" spans="1:56" s="36" customFormat="1">
      <c r="A46" s="36">
        <f>main!A50</f>
        <v>2021</v>
      </c>
      <c r="B46" s="36" t="str">
        <f>main!B50</f>
        <v>47_2000</v>
      </c>
      <c r="C46" s="36">
        <v>20</v>
      </c>
      <c r="D46" s="36" t="str">
        <f>main!$B$30</f>
        <v>McLane-PARFLUX-Mark78H-21 ; frame# 14182, funnel# 874, controller# 11741-01 and Motor # 14182-02 Cup set Ex21</v>
      </c>
      <c r="E46" s="36">
        <v>2000</v>
      </c>
      <c r="F46" s="36">
        <v>1</v>
      </c>
      <c r="G46" s="493">
        <f>main!E50</f>
        <v>309.28571428571433</v>
      </c>
      <c r="H46" s="257">
        <f>main!I50</f>
        <v>36.386554621848745</v>
      </c>
      <c r="I46" s="257">
        <f>main!J50</f>
        <v>13.290189075630256</v>
      </c>
      <c r="J46" s="259">
        <v>1</v>
      </c>
      <c r="K46" s="259">
        <f>main!AF50</f>
        <v>63.657042000714448</v>
      </c>
      <c r="L46" s="259">
        <f>main!AG50</f>
        <v>7.6385728245013134</v>
      </c>
      <c r="M46" s="259">
        <v>1</v>
      </c>
      <c r="N46" s="259">
        <f>main!M50</f>
        <v>13.717098236083984</v>
      </c>
      <c r="O46" s="259">
        <v>1</v>
      </c>
      <c r="P46" s="259">
        <f>main!O50</f>
        <v>0.8848642110824585</v>
      </c>
      <c r="Q46" s="259">
        <v>1</v>
      </c>
      <c r="R46" s="259">
        <f>main!AH50</f>
        <v>6.078525411582671</v>
      </c>
      <c r="S46" s="259">
        <v>1</v>
      </c>
      <c r="T46" s="259">
        <f>main!AB50</f>
        <v>7.3187015320597695</v>
      </c>
      <c r="U46" s="259">
        <v>3</v>
      </c>
      <c r="V46" s="259">
        <f>main!AC50</f>
        <v>15.65613296765652</v>
      </c>
      <c r="W46" s="259">
        <f t="shared" si="30"/>
        <v>8.4601412418483157</v>
      </c>
      <c r="X46" s="259">
        <f t="shared" si="0"/>
        <v>1.0151807710559351</v>
      </c>
      <c r="Y46" s="259">
        <f t="shared" si="31"/>
        <v>1.8230282912655043</v>
      </c>
      <c r="Z46" s="259">
        <f t="shared" si="32"/>
        <v>0.11760012671544273</v>
      </c>
      <c r="AA46" s="259">
        <f t="shared" si="33"/>
        <v>0.80784752020956918</v>
      </c>
      <c r="AB46" s="259">
        <f t="shared" si="34"/>
        <v>2.0807296733336336</v>
      </c>
      <c r="AC46" s="494">
        <f>main!T50</f>
        <v>44638</v>
      </c>
      <c r="AD46" s="494">
        <f>main!U50</f>
        <v>44655</v>
      </c>
      <c r="AE46" s="494">
        <f>main!V50</f>
        <v>44646.5</v>
      </c>
      <c r="AF46" s="493">
        <f>main!H50</f>
        <v>17</v>
      </c>
      <c r="AG46" s="257">
        <f t="shared" si="35"/>
        <v>0.97266927149179161</v>
      </c>
      <c r="AH46" s="257">
        <f t="shared" si="36"/>
        <v>0.15179253049671143</v>
      </c>
      <c r="AI46" s="257">
        <f t="shared" si="37"/>
        <v>8.3940133272978404E-3</v>
      </c>
      <c r="AJ46" s="257">
        <f t="shared" si="38"/>
        <v>6.7264572873402928E-2</v>
      </c>
      <c r="AK46" s="257">
        <f t="shared" si="39"/>
        <v>8.4527957623308503E-2</v>
      </c>
      <c r="AL46" s="257">
        <f t="shared" si="40"/>
        <v>3.4626887557557551E-2</v>
      </c>
      <c r="AM46" s="259">
        <f>depths!$B$3</f>
        <v>2207.9</v>
      </c>
      <c r="AO46" s="259">
        <f t="shared" si="41"/>
        <v>151.79253049671144</v>
      </c>
      <c r="AP46" s="259">
        <v>1</v>
      </c>
      <c r="AQ46" s="259">
        <f t="shared" si="42"/>
        <v>8.3940133272978397</v>
      </c>
      <c r="AR46" s="259">
        <v>1</v>
      </c>
      <c r="AS46" s="259">
        <f t="shared" si="43"/>
        <v>67.264572873402926</v>
      </c>
      <c r="AT46" s="259">
        <v>1</v>
      </c>
      <c r="AU46" s="259">
        <f t="shared" si="44"/>
        <v>84.527957623308509</v>
      </c>
      <c r="AV46" s="259">
        <v>1</v>
      </c>
      <c r="AW46" s="259">
        <f t="shared" si="45"/>
        <v>34.626887557557552</v>
      </c>
      <c r="AX46" s="259">
        <v>3</v>
      </c>
      <c r="AY46" s="259">
        <f t="shared" si="46"/>
        <v>8.0133983889034894</v>
      </c>
      <c r="AZ46" s="259">
        <f t="shared" si="47"/>
        <v>10.070028998931711</v>
      </c>
      <c r="BA46" s="259">
        <f>main!R50</f>
        <v>40.53</v>
      </c>
      <c r="BB46" s="259">
        <v>1</v>
      </c>
      <c r="BC46" s="259">
        <f>main!S50</f>
        <v>8.58</v>
      </c>
      <c r="BD46" s="259">
        <v>1</v>
      </c>
    </row>
    <row r="47" spans="1:56" s="221" customFormat="1">
      <c r="A47" s="216">
        <f>main!A51</f>
        <v>2021</v>
      </c>
      <c r="B47" s="216" t="str">
        <f>main!B51</f>
        <v>47_2000</v>
      </c>
      <c r="C47" s="216">
        <v>21</v>
      </c>
      <c r="D47" s="216" t="str">
        <f>main!$B$30</f>
        <v>McLane-PARFLUX-Mark78H-21 ; frame# 14182, funnel# 874, controller# 11741-01 and Motor # 14182-02 Cup set Ex21</v>
      </c>
      <c r="E47" s="221">
        <v>2000</v>
      </c>
      <c r="F47" s="216">
        <v>1</v>
      </c>
      <c r="G47" s="217">
        <f>main!E51</f>
        <v>205.5</v>
      </c>
      <c r="H47" s="218">
        <f>main!I51</f>
        <v>24.176470588235293</v>
      </c>
      <c r="I47" s="218">
        <f>main!J51</f>
        <v>8.8304558823529415</v>
      </c>
      <c r="J47" s="223">
        <v>1</v>
      </c>
      <c r="K47" s="219">
        <f>main!AF51</f>
        <v>63.059691919776405</v>
      </c>
      <c r="L47" s="219">
        <f>main!AG51</f>
        <v>7.5668933692272873</v>
      </c>
      <c r="M47" s="223">
        <v>1</v>
      </c>
      <c r="N47" s="219">
        <f>main!M51</f>
        <v>15.621224403381348</v>
      </c>
      <c r="O47" s="223">
        <v>1</v>
      </c>
      <c r="P47" s="219">
        <f>main!O51</f>
        <v>1.2779250144958496</v>
      </c>
      <c r="Q47" s="223">
        <v>1</v>
      </c>
      <c r="R47" s="219">
        <f>main!AH51</f>
        <v>8.0543310341540604</v>
      </c>
      <c r="S47" s="223">
        <v>1</v>
      </c>
      <c r="T47" s="219">
        <f>main!AB51</f>
        <v>5.8014736003641341</v>
      </c>
      <c r="U47" s="223">
        <v>1</v>
      </c>
      <c r="V47" s="219">
        <f>main!AC51</f>
        <v>12.410485889849797</v>
      </c>
      <c r="W47" s="223">
        <f t="shared" si="30"/>
        <v>5.5684582745235378</v>
      </c>
      <c r="X47" s="223">
        <f t="shared" si="0"/>
        <v>0.66819118063430571</v>
      </c>
      <c r="Y47" s="223">
        <f t="shared" si="31"/>
        <v>1.3794253292239413</v>
      </c>
      <c r="Z47" s="223">
        <f t="shared" si="32"/>
        <v>0.11284660461460842</v>
      </c>
      <c r="AA47" s="223">
        <f t="shared" si="33"/>
        <v>0.71123414858963574</v>
      </c>
      <c r="AB47" s="223">
        <f t="shared" si="34"/>
        <v>1.0959024812888232</v>
      </c>
      <c r="AC47" s="220">
        <f>main!T51</f>
        <v>44655</v>
      </c>
      <c r="AD47" s="220">
        <f>main!U51</f>
        <v>44672</v>
      </c>
      <c r="AE47" s="220">
        <f>main!V51</f>
        <v>44663.5</v>
      </c>
      <c r="AF47" s="217">
        <f>main!H51</f>
        <v>17</v>
      </c>
      <c r="AG47" s="222">
        <f t="shared" si="35"/>
        <v>0.5122965668065077</v>
      </c>
      <c r="AH47" s="222">
        <f t="shared" si="36"/>
        <v>0.11485639710440811</v>
      </c>
      <c r="AI47" s="222">
        <f t="shared" si="37"/>
        <v>8.0547183879092384E-3</v>
      </c>
      <c r="AJ47" s="222">
        <f t="shared" si="38"/>
        <v>5.9220162247263591E-2</v>
      </c>
      <c r="AK47" s="222">
        <f t="shared" si="39"/>
        <v>5.5636234857144522E-2</v>
      </c>
      <c r="AL47" s="222">
        <f t="shared" si="40"/>
        <v>1.8237684827572365E-2</v>
      </c>
      <c r="AM47" s="219">
        <f>depths!$B$3</f>
        <v>2207.9</v>
      </c>
      <c r="AO47" s="223">
        <f t="shared" si="41"/>
        <v>114.8563971044081</v>
      </c>
      <c r="AP47" s="223">
        <v>1</v>
      </c>
      <c r="AQ47" s="223">
        <f t="shared" si="42"/>
        <v>8.0547183879092383</v>
      </c>
      <c r="AR47" s="223">
        <v>1</v>
      </c>
      <c r="AS47" s="223">
        <f t="shared" si="43"/>
        <v>59.220162247263595</v>
      </c>
      <c r="AT47" s="223">
        <v>1</v>
      </c>
      <c r="AU47" s="223">
        <f t="shared" si="44"/>
        <v>55.636234857144522</v>
      </c>
      <c r="AV47" s="223">
        <v>1</v>
      </c>
      <c r="AW47" s="223">
        <f t="shared" si="45"/>
        <v>18.237684827572366</v>
      </c>
      <c r="AX47" s="223">
        <v>1</v>
      </c>
      <c r="AY47" s="223">
        <f t="shared" si="46"/>
        <v>7.3522324922194287</v>
      </c>
      <c r="AZ47" s="223">
        <f t="shared" si="47"/>
        <v>6.9072849201852744</v>
      </c>
      <c r="BA47" s="219">
        <f>main!R51</f>
        <v>40.94</v>
      </c>
      <c r="BB47" s="219">
        <v>1</v>
      </c>
      <c r="BC47" s="219">
        <f>main!S51</f>
        <v>8.6199999999999992</v>
      </c>
      <c r="BD47" s="219">
        <v>1</v>
      </c>
    </row>
    <row r="48" spans="1:56">
      <c r="A48" s="216">
        <f>main!A55</f>
        <v>2021</v>
      </c>
      <c r="B48" s="216" t="str">
        <f>main!B55</f>
        <v>47_3800</v>
      </c>
      <c r="C48" s="216">
        <v>1</v>
      </c>
      <c r="D48" s="216" t="str">
        <f>main!$B$54</f>
        <v>McLane-PARFLUX-Mark78H-21 ; frame# 10705, controller# 11649-01 and Motor # 11649-01 Cup set Lx21</v>
      </c>
      <c r="E48" s="216">
        <v>3800</v>
      </c>
      <c r="F48" s="216">
        <v>1</v>
      </c>
      <c r="G48" s="217">
        <f>main!E55</f>
        <v>407.64285714285722</v>
      </c>
      <c r="H48" s="218">
        <f>main!I55</f>
        <v>47.957983193277322</v>
      </c>
      <c r="I48" s="218">
        <f>main!J55</f>
        <v>17.516653361344542</v>
      </c>
      <c r="J48" s="219">
        <v>1</v>
      </c>
      <c r="K48" s="219">
        <f>main!AF55</f>
        <v>67.120804797484496</v>
      </c>
      <c r="L48" s="219">
        <f>main!AG55</f>
        <v>8.0542095480806069</v>
      </c>
      <c r="M48" s="219">
        <v>1</v>
      </c>
      <c r="N48" s="219">
        <f>main!M55</f>
        <v>15.081723213195801</v>
      </c>
      <c r="O48" s="219">
        <v>1</v>
      </c>
      <c r="P48" s="219">
        <f>main!O55</f>
        <v>0.97975075244903564</v>
      </c>
      <c r="Q48" s="219">
        <v>1</v>
      </c>
      <c r="R48" s="219">
        <f>main!AH55</f>
        <v>7.0275136651151939</v>
      </c>
      <c r="S48" s="219">
        <v>1</v>
      </c>
      <c r="T48" s="219">
        <f>main!AB55</f>
        <v>3.3978077252050856</v>
      </c>
      <c r="U48" s="219">
        <v>1</v>
      </c>
      <c r="V48" s="219">
        <f>main!AC55</f>
        <v>7.2685748026904102</v>
      </c>
      <c r="W48" s="219">
        <f t="shared" si="30"/>
        <v>11.757318709720078</v>
      </c>
      <c r="X48" s="219">
        <f t="shared" si="0"/>
        <v>1.4108279675335946</v>
      </c>
      <c r="Y48" s="219">
        <f t="shared" si="31"/>
        <v>2.641813176172942</v>
      </c>
      <c r="Z48" s="219">
        <f t="shared" si="32"/>
        <v>0.17161954311166244</v>
      </c>
      <c r="AA48" s="219">
        <f t="shared" si="33"/>
        <v>1.2309852086393476</v>
      </c>
      <c r="AB48" s="219">
        <f t="shared" si="34"/>
        <v>1.2732110524973121</v>
      </c>
      <c r="AC48" s="220">
        <f>main!T55</f>
        <v>44315</v>
      </c>
      <c r="AD48" s="220">
        <f>main!U55</f>
        <v>44332</v>
      </c>
      <c r="AE48" s="220">
        <f>main!V55</f>
        <v>44323.5</v>
      </c>
      <c r="AF48" s="217">
        <f>main!H55</f>
        <v>17</v>
      </c>
      <c r="AG48" s="218">
        <f t="shared" si="35"/>
        <v>0.59518220110916109</v>
      </c>
      <c r="AH48" s="218">
        <f t="shared" si="36"/>
        <v>0.21996779152147727</v>
      </c>
      <c r="AI48" s="218">
        <f t="shared" si="37"/>
        <v>1.2249788944444144E-2</v>
      </c>
      <c r="AJ48" s="218">
        <f t="shared" si="38"/>
        <v>0.10249668681426707</v>
      </c>
      <c r="AK48" s="218">
        <f t="shared" si="39"/>
        <v>0.11747110470721021</v>
      </c>
      <c r="AL48" s="218">
        <f t="shared" si="40"/>
        <v>2.118840160587971E-2</v>
      </c>
      <c r="AM48" s="219">
        <f>depths!$B$4</f>
        <v>3962.9</v>
      </c>
      <c r="AO48" s="219">
        <f t="shared" si="41"/>
        <v>219.96779152147727</v>
      </c>
      <c r="AP48" s="219">
        <v>1</v>
      </c>
      <c r="AQ48" s="219">
        <f t="shared" si="42"/>
        <v>12.249788944444143</v>
      </c>
      <c r="AR48" s="219">
        <v>1</v>
      </c>
      <c r="AS48" s="219">
        <f t="shared" si="43"/>
        <v>102.49668681426708</v>
      </c>
      <c r="AT48" s="219">
        <v>1</v>
      </c>
      <c r="AU48" s="219">
        <f t="shared" si="44"/>
        <v>117.47110470721022</v>
      </c>
      <c r="AV48" s="219">
        <v>1</v>
      </c>
      <c r="AW48" s="219">
        <f t="shared" si="45"/>
        <v>21.188401605879712</v>
      </c>
      <c r="AX48" s="219">
        <v>1</v>
      </c>
      <c r="AY48" s="219">
        <f t="shared" si="46"/>
        <v>8.367220633687257</v>
      </c>
      <c r="AZ48" s="219">
        <f t="shared" si="47"/>
        <v>9.5896431554838255</v>
      </c>
      <c r="BA48" s="219">
        <f>main!R55</f>
        <v>38.340000000000003</v>
      </c>
      <c r="BB48" s="219">
        <v>1</v>
      </c>
      <c r="BC48" s="219">
        <f>main!S55</f>
        <v>8.48</v>
      </c>
      <c r="BD48" s="219">
        <v>1</v>
      </c>
    </row>
    <row r="49" spans="1:56">
      <c r="A49" s="216">
        <f>main!A56</f>
        <v>2021</v>
      </c>
      <c r="B49" s="216" t="str">
        <f>main!B56</f>
        <v>47_3800</v>
      </c>
      <c r="C49" s="216">
        <v>2</v>
      </c>
      <c r="D49" s="216" t="str">
        <f>main!$B$54</f>
        <v>McLane-PARFLUX-Mark78H-21 ; frame# 10705, controller# 11649-01 and Motor # 11649-01 Cup set Lx21</v>
      </c>
      <c r="E49" s="216">
        <v>3800</v>
      </c>
      <c r="F49" s="216">
        <v>1</v>
      </c>
      <c r="G49" s="217">
        <f>main!E56</f>
        <v>343.48571428571427</v>
      </c>
      <c r="H49" s="218">
        <f>main!I56</f>
        <v>40.410084033613444</v>
      </c>
      <c r="I49" s="218">
        <f>main!J56</f>
        <v>14.759783193277311</v>
      </c>
      <c r="J49" s="219">
        <v>1</v>
      </c>
      <c r="K49" s="219">
        <f>main!AF56</f>
        <v>71.340135500677476</v>
      </c>
      <c r="L49" s="219">
        <f>main!AG56</f>
        <v>8.5605111894077695</v>
      </c>
      <c r="M49" s="219">
        <v>1</v>
      </c>
      <c r="N49" s="219">
        <f>main!M56</f>
        <v>13.483695030212402</v>
      </c>
      <c r="O49" s="219">
        <v>1</v>
      </c>
      <c r="P49" s="219">
        <f>main!O56</f>
        <v>0.69368797540664673</v>
      </c>
      <c r="Q49" s="219">
        <v>1</v>
      </c>
      <c r="R49" s="219">
        <f>main!AH56</f>
        <v>4.9231838408046329</v>
      </c>
      <c r="S49" s="219">
        <v>1</v>
      </c>
      <c r="T49" s="219">
        <f>main!AB56</f>
        <v>3.2661448229375596</v>
      </c>
      <c r="U49" s="219">
        <v>1</v>
      </c>
      <c r="V49" s="219">
        <f>main!AC56</f>
        <v>6.9869221221188313</v>
      </c>
      <c r="W49" s="219">
        <f t="shared" si="30"/>
        <v>10.529649329690255</v>
      </c>
      <c r="X49" s="219">
        <f t="shared" si="0"/>
        <v>1.2635128917928315</v>
      </c>
      <c r="Y49" s="219">
        <f t="shared" si="31"/>
        <v>1.9901641529020584</v>
      </c>
      <c r="Z49" s="219">
        <f t="shared" si="32"/>
        <v>0.10238684120785589</v>
      </c>
      <c r="AA49" s="219">
        <f t="shared" si="33"/>
        <v>0.72665126110922662</v>
      </c>
      <c r="AB49" s="219">
        <f t="shared" si="34"/>
        <v>1.0312545571078697</v>
      </c>
      <c r="AC49" s="220">
        <f>main!T56</f>
        <v>44332</v>
      </c>
      <c r="AD49" s="220">
        <f>main!U56</f>
        <v>44349</v>
      </c>
      <c r="AE49" s="220">
        <f>main!V56</f>
        <v>44340.5</v>
      </c>
      <c r="AF49" s="217">
        <f>main!H56</f>
        <v>17</v>
      </c>
      <c r="AG49" s="218">
        <f t="shared" si="35"/>
        <v>0.48207589464403494</v>
      </c>
      <c r="AH49" s="218">
        <f t="shared" si="36"/>
        <v>0.16570892197352693</v>
      </c>
      <c r="AI49" s="218">
        <f t="shared" si="37"/>
        <v>7.3081257107677298E-3</v>
      </c>
      <c r="AJ49" s="218">
        <f t="shared" si="38"/>
        <v>6.050385188253344E-2</v>
      </c>
      <c r="AK49" s="218">
        <f t="shared" si="39"/>
        <v>0.10520507009099347</v>
      </c>
      <c r="AL49" s="218">
        <f t="shared" si="40"/>
        <v>1.7161833201994835E-2</v>
      </c>
      <c r="AM49" s="219">
        <f>depths!$B$4</f>
        <v>3962.9</v>
      </c>
      <c r="AO49" s="219">
        <f t="shared" si="41"/>
        <v>165.70892197352694</v>
      </c>
      <c r="AP49" s="219">
        <v>1</v>
      </c>
      <c r="AQ49" s="219">
        <f t="shared" si="42"/>
        <v>7.3081257107677295</v>
      </c>
      <c r="AR49" s="219">
        <v>1</v>
      </c>
      <c r="AS49" s="219">
        <f t="shared" si="43"/>
        <v>60.503851882533439</v>
      </c>
      <c r="AT49" s="219">
        <v>1</v>
      </c>
      <c r="AU49" s="219">
        <f t="shared" si="44"/>
        <v>105.20507009099347</v>
      </c>
      <c r="AV49" s="219">
        <v>1</v>
      </c>
      <c r="AW49" s="219">
        <f t="shared" si="45"/>
        <v>17.161833201994835</v>
      </c>
      <c r="AX49" s="219">
        <v>1</v>
      </c>
      <c r="AY49" s="219">
        <f t="shared" si="46"/>
        <v>8.2789834599297585</v>
      </c>
      <c r="AZ49" s="219">
        <f t="shared" si="47"/>
        <v>14.395629502648706</v>
      </c>
      <c r="BA49" s="219">
        <f>main!R56</f>
        <v>38.64</v>
      </c>
      <c r="BB49" s="219">
        <v>1</v>
      </c>
      <c r="BC49" s="219">
        <f>main!S56</f>
        <v>8.6300000000000008</v>
      </c>
      <c r="BD49" s="219">
        <v>1</v>
      </c>
    </row>
    <row r="50" spans="1:56">
      <c r="A50" s="216">
        <f>main!A57</f>
        <v>2021</v>
      </c>
      <c r="B50" s="216" t="str">
        <f>main!B57</f>
        <v>47_3800</v>
      </c>
      <c r="C50" s="216">
        <v>3</v>
      </c>
      <c r="D50" s="216" t="str">
        <f>main!$B$54</f>
        <v>McLane-PARFLUX-Mark78H-21 ; frame# 10705, controller# 11649-01 and Motor # 11649-01 Cup set Lx21</v>
      </c>
      <c r="E50" s="216">
        <v>3800</v>
      </c>
      <c r="F50" s="216">
        <v>1</v>
      </c>
      <c r="G50" s="217">
        <f>main!E57</f>
        <v>412.74285714285719</v>
      </c>
      <c r="H50" s="218">
        <f>main!I57</f>
        <v>48.557983193277316</v>
      </c>
      <c r="I50" s="218">
        <f>main!J57</f>
        <v>17.735803361344541</v>
      </c>
      <c r="J50" s="219">
        <v>1</v>
      </c>
      <c r="K50" s="219">
        <f>main!AF57</f>
        <v>69.647737721463599</v>
      </c>
      <c r="L50" s="219">
        <f>main!AG57</f>
        <v>8.3574306930754965</v>
      </c>
      <c r="M50" s="219">
        <v>1</v>
      </c>
      <c r="N50" s="219">
        <f>main!M57</f>
        <v>14.58903980255127</v>
      </c>
      <c r="O50" s="219">
        <v>1</v>
      </c>
      <c r="P50" s="219">
        <f>main!O57</f>
        <v>0.94144737720489502</v>
      </c>
      <c r="Q50" s="219">
        <v>1</v>
      </c>
      <c r="R50" s="219">
        <f>main!AH57</f>
        <v>6.2316091094757731</v>
      </c>
      <c r="S50" s="219">
        <v>1</v>
      </c>
      <c r="T50" s="219">
        <f>main!AB57</f>
        <v>3.0392570177253599</v>
      </c>
      <c r="U50" s="219">
        <v>1</v>
      </c>
      <c r="V50" s="219">
        <f>main!AC57</f>
        <v>6.5015647630871083</v>
      </c>
      <c r="W50" s="219">
        <f t="shared" si="30"/>
        <v>12.35258580790377</v>
      </c>
      <c r="X50" s="219">
        <f t="shared" si="0"/>
        <v>1.4822574737845242</v>
      </c>
      <c r="Y50" s="219">
        <f t="shared" si="31"/>
        <v>2.587483411688781</v>
      </c>
      <c r="Z50" s="219">
        <f t="shared" si="32"/>
        <v>0.16697325557159579</v>
      </c>
      <c r="AA50" s="219">
        <f t="shared" si="33"/>
        <v>1.1052259379042568</v>
      </c>
      <c r="AB50" s="219">
        <f t="shared" si="34"/>
        <v>1.1531047417915956</v>
      </c>
      <c r="AC50" s="220">
        <f>main!T57</f>
        <v>44349</v>
      </c>
      <c r="AD50" s="220">
        <f>main!U57</f>
        <v>44366</v>
      </c>
      <c r="AE50" s="220">
        <f>main!V57</f>
        <v>44357.5</v>
      </c>
      <c r="AF50" s="217">
        <f>main!H57</f>
        <v>17</v>
      </c>
      <c r="AG50" s="218">
        <f t="shared" si="35"/>
        <v>0.53903664830963416</v>
      </c>
      <c r="AH50" s="218">
        <f t="shared" si="36"/>
        <v>0.21544408090664288</v>
      </c>
      <c r="AI50" s="218">
        <f t="shared" si="37"/>
        <v>1.191814814929306E-2</v>
      </c>
      <c r="AJ50" s="218">
        <f t="shared" si="38"/>
        <v>9.2025473597356938E-2</v>
      </c>
      <c r="AK50" s="218">
        <f t="shared" si="39"/>
        <v>0.12341860730928594</v>
      </c>
      <c r="AL50" s="218">
        <f t="shared" si="40"/>
        <v>1.9189627921311292E-2</v>
      </c>
      <c r="AM50" s="219">
        <f>depths!$B$4</f>
        <v>3962.9</v>
      </c>
      <c r="AO50" s="219">
        <f t="shared" si="41"/>
        <v>215.44408090664288</v>
      </c>
      <c r="AP50" s="219">
        <v>1</v>
      </c>
      <c r="AQ50" s="219">
        <f t="shared" si="42"/>
        <v>11.91814814929306</v>
      </c>
      <c r="AR50" s="219">
        <v>1</v>
      </c>
      <c r="AS50" s="219">
        <f t="shared" si="43"/>
        <v>92.025473597356935</v>
      </c>
      <c r="AT50" s="219">
        <v>1</v>
      </c>
      <c r="AU50" s="219">
        <f t="shared" si="44"/>
        <v>123.41860730928595</v>
      </c>
      <c r="AV50" s="219">
        <v>1</v>
      </c>
      <c r="AW50" s="219">
        <f t="shared" si="45"/>
        <v>19.189627921311292</v>
      </c>
      <c r="AX50" s="219">
        <v>1</v>
      </c>
      <c r="AY50" s="219">
        <f t="shared" si="46"/>
        <v>7.7214574315234987</v>
      </c>
      <c r="AZ50" s="219">
        <f t="shared" si="47"/>
        <v>10.355518807391791</v>
      </c>
      <c r="BA50" s="219">
        <f>main!R57</f>
        <v>37.515000000000001</v>
      </c>
      <c r="BB50" s="219">
        <v>1</v>
      </c>
      <c r="BC50" s="219">
        <f>main!S57</f>
        <v>8.57</v>
      </c>
      <c r="BD50" s="219">
        <v>1</v>
      </c>
    </row>
    <row r="51" spans="1:56">
      <c r="A51" s="216">
        <f>main!A58</f>
        <v>2021</v>
      </c>
      <c r="B51" s="216" t="str">
        <f>main!B58</f>
        <v>47_3800</v>
      </c>
      <c r="C51" s="216">
        <v>4</v>
      </c>
      <c r="D51" s="216" t="str">
        <f>main!$B$54</f>
        <v>McLane-PARFLUX-Mark78H-21 ; frame# 10705, controller# 11649-01 and Motor # 11649-01 Cup set Lx21</v>
      </c>
      <c r="E51" s="216">
        <v>3800</v>
      </c>
      <c r="F51" s="216">
        <v>1</v>
      </c>
      <c r="G51" s="217">
        <f>main!E58</f>
        <v>529.04285714285709</v>
      </c>
      <c r="H51" s="218">
        <f>main!I58</f>
        <v>62.240336134453777</v>
      </c>
      <c r="I51" s="218">
        <f>main!J58</f>
        <v>22.733282773109242</v>
      </c>
      <c r="J51" s="219">
        <v>1</v>
      </c>
      <c r="K51" s="219">
        <f>main!AF58</f>
        <v>73.824145539924771</v>
      </c>
      <c r="L51" s="219">
        <f>main!AG58</f>
        <v>8.8585817717852837</v>
      </c>
      <c r="M51" s="219">
        <v>1</v>
      </c>
      <c r="N51" s="219">
        <f>main!M58</f>
        <v>13.097996711730957</v>
      </c>
      <c r="O51" s="219">
        <v>1</v>
      </c>
      <c r="P51" s="219">
        <f>main!O58</f>
        <v>0.58873683214187622</v>
      </c>
      <c r="Q51" s="219">
        <v>1</v>
      </c>
      <c r="R51" s="219">
        <f>main!AH58</f>
        <v>4.2394149399456733</v>
      </c>
      <c r="S51" s="219">
        <v>1</v>
      </c>
      <c r="T51" s="219">
        <f>main!AB58</f>
        <v>3.2336309523809526</v>
      </c>
      <c r="U51" s="219">
        <v>1</v>
      </c>
      <c r="V51" s="219">
        <f>main!AC58</f>
        <v>6.9173685983827502</v>
      </c>
      <c r="W51" s="219">
        <f t="shared" si="30"/>
        <v>16.782651760422812</v>
      </c>
      <c r="X51" s="219">
        <f t="shared" si="0"/>
        <v>2.0138464438670596</v>
      </c>
      <c r="Y51" s="219">
        <f t="shared" si="31"/>
        <v>2.9776046300903487</v>
      </c>
      <c r="Z51" s="219">
        <f t="shared" si="32"/>
        <v>0.13383920884025821</v>
      </c>
      <c r="AA51" s="219">
        <f t="shared" si="33"/>
        <v>0.96375818622328924</v>
      </c>
      <c r="AB51" s="219">
        <f t="shared" si="34"/>
        <v>1.572544963928614</v>
      </c>
      <c r="AC51" s="220">
        <f>main!T58</f>
        <v>44366</v>
      </c>
      <c r="AD51" s="220">
        <f>main!U58</f>
        <v>44383</v>
      </c>
      <c r="AE51" s="220">
        <f>main!V58</f>
        <v>44374.5</v>
      </c>
      <c r="AF51" s="217">
        <f>main!H58</f>
        <v>17</v>
      </c>
      <c r="AG51" s="218">
        <f t="shared" si="35"/>
        <v>0.73511046824354731</v>
      </c>
      <c r="AH51" s="218">
        <f t="shared" si="36"/>
        <v>0.24792711324649033</v>
      </c>
      <c r="AI51" s="218">
        <f t="shared" si="37"/>
        <v>9.5531198315673242E-3</v>
      </c>
      <c r="AJ51" s="218">
        <f t="shared" si="38"/>
        <v>8.0246310260057394E-2</v>
      </c>
      <c r="AK51" s="218">
        <f t="shared" si="39"/>
        <v>0.16768080298643295</v>
      </c>
      <c r="AL51" s="218">
        <f t="shared" si="40"/>
        <v>2.6169827990158323E-2</v>
      </c>
      <c r="AM51" s="219">
        <f>depths!$B$4</f>
        <v>3962.9</v>
      </c>
      <c r="AO51" s="219">
        <f t="shared" si="41"/>
        <v>247.92711324649034</v>
      </c>
      <c r="AP51" s="219">
        <v>1</v>
      </c>
      <c r="AQ51" s="219">
        <f t="shared" si="42"/>
        <v>9.553119831567324</v>
      </c>
      <c r="AR51" s="219">
        <v>1</v>
      </c>
      <c r="AS51" s="219">
        <f t="shared" si="43"/>
        <v>80.246310260057399</v>
      </c>
      <c r="AT51" s="219">
        <v>1</v>
      </c>
      <c r="AU51" s="219">
        <f t="shared" si="44"/>
        <v>167.68080298643295</v>
      </c>
      <c r="AV51" s="219">
        <v>1</v>
      </c>
      <c r="AW51" s="219">
        <f t="shared" si="45"/>
        <v>26.169827990158325</v>
      </c>
      <c r="AX51" s="219">
        <v>1</v>
      </c>
      <c r="AY51" s="219">
        <f t="shared" si="46"/>
        <v>8.4000108524642947</v>
      </c>
      <c r="AZ51" s="219">
        <f t="shared" si="47"/>
        <v>17.552465157230479</v>
      </c>
      <c r="BA51" s="219">
        <f>main!R58</f>
        <v>38.26</v>
      </c>
      <c r="BB51" s="219">
        <v>1</v>
      </c>
      <c r="BC51" s="219">
        <f>main!S58</f>
        <v>8.58</v>
      </c>
      <c r="BD51" s="219">
        <v>1</v>
      </c>
    </row>
    <row r="52" spans="1:56">
      <c r="A52" s="216">
        <f>main!A59</f>
        <v>2021</v>
      </c>
      <c r="B52" s="216" t="str">
        <f>main!B59</f>
        <v>47_3800</v>
      </c>
      <c r="C52" s="216">
        <v>5</v>
      </c>
      <c r="D52" s="216" t="str">
        <f>main!$B$54</f>
        <v>McLane-PARFLUX-Mark78H-21 ; frame# 10705, controller# 11649-01 and Motor # 11649-01 Cup set Lx21</v>
      </c>
      <c r="E52" s="216">
        <v>3800</v>
      </c>
      <c r="F52" s="216">
        <v>1</v>
      </c>
      <c r="G52" s="217">
        <f>main!E59</f>
        <v>366.42857142857144</v>
      </c>
      <c r="H52" s="218">
        <f>main!I59</f>
        <v>43.109243697478995</v>
      </c>
      <c r="I52" s="218">
        <f>main!J59</f>
        <v>15.745651260504204</v>
      </c>
      <c r="J52" s="219">
        <v>1</v>
      </c>
      <c r="K52" s="219">
        <f>main!AF59</f>
        <v>69.217122599232454</v>
      </c>
      <c r="L52" s="219">
        <f>main!AG59</f>
        <v>8.3057587198402754</v>
      </c>
      <c r="M52" s="219">
        <v>1</v>
      </c>
      <c r="N52" s="219">
        <f>main!M59</f>
        <v>14.397756576538086</v>
      </c>
      <c r="O52" s="219">
        <v>1</v>
      </c>
      <c r="P52" s="219">
        <f>main!O59</f>
        <v>0.95175492763519287</v>
      </c>
      <c r="Q52" s="219">
        <v>1</v>
      </c>
      <c r="R52" s="219">
        <f>main!AH59</f>
        <v>6.0919978566978106</v>
      </c>
      <c r="S52" s="219">
        <v>1</v>
      </c>
      <c r="T52" s="219">
        <f>main!AB59</f>
        <v>3.177578767992459</v>
      </c>
      <c r="U52" s="219">
        <v>1</v>
      </c>
      <c r="V52" s="219">
        <f>main!AC59</f>
        <v>6.7974620209564556</v>
      </c>
      <c r="W52" s="219">
        <f t="shared" si="30"/>
        <v>10.898686737030784</v>
      </c>
      <c r="X52" s="219">
        <f t="shared" si="0"/>
        <v>1.3077958025649681</v>
      </c>
      <c r="Y52" s="219">
        <f t="shared" si="31"/>
        <v>2.2670205398779961</v>
      </c>
      <c r="Z52" s="219">
        <f t="shared" si="32"/>
        <v>0.14986001176010164</v>
      </c>
      <c r="AA52" s="219">
        <f t="shared" si="33"/>
        <v>0.95922473731302782</v>
      </c>
      <c r="AB52" s="219">
        <f t="shared" si="34"/>
        <v>1.0703046643850247</v>
      </c>
      <c r="AC52" s="220">
        <f>main!T59</f>
        <v>44383</v>
      </c>
      <c r="AD52" s="220">
        <f>main!U59</f>
        <v>44400</v>
      </c>
      <c r="AE52" s="220">
        <f>main!V59</f>
        <v>44391.5</v>
      </c>
      <c r="AF52" s="217">
        <f>main!H59</f>
        <v>17</v>
      </c>
      <c r="AG52" s="218">
        <f t="shared" si="35"/>
        <v>0.50033047133591857</v>
      </c>
      <c r="AH52" s="218">
        <f t="shared" si="36"/>
        <v>0.18876107742531192</v>
      </c>
      <c r="AI52" s="218">
        <f t="shared" si="37"/>
        <v>1.0696646092798119E-2</v>
      </c>
      <c r="AJ52" s="218">
        <f t="shared" si="38"/>
        <v>7.9868837411576007E-2</v>
      </c>
      <c r="AK52" s="218">
        <f t="shared" si="39"/>
        <v>0.10889224001373589</v>
      </c>
      <c r="AL52" s="218">
        <f t="shared" si="40"/>
        <v>1.781169353278457E-2</v>
      </c>
      <c r="AM52" s="219">
        <f>depths!$B$4</f>
        <v>3962.9</v>
      </c>
      <c r="AO52" s="219">
        <f t="shared" si="41"/>
        <v>188.76107742531192</v>
      </c>
      <c r="AP52" s="219">
        <v>1</v>
      </c>
      <c r="AQ52" s="219">
        <f t="shared" si="42"/>
        <v>10.696646092798119</v>
      </c>
      <c r="AR52" s="219">
        <v>1</v>
      </c>
      <c r="AS52" s="219">
        <f t="shared" si="43"/>
        <v>79.86883741157601</v>
      </c>
      <c r="AT52" s="219">
        <v>1</v>
      </c>
      <c r="AU52" s="219">
        <f t="shared" si="44"/>
        <v>108.89224001373589</v>
      </c>
      <c r="AV52" s="219">
        <v>1</v>
      </c>
      <c r="AW52" s="219">
        <f t="shared" si="45"/>
        <v>17.81169353278457</v>
      </c>
      <c r="AX52" s="219">
        <v>1</v>
      </c>
      <c r="AY52" s="219">
        <f t="shared" si="46"/>
        <v>7.466717765426532</v>
      </c>
      <c r="AZ52" s="219">
        <f t="shared" si="47"/>
        <v>10.180035785894729</v>
      </c>
      <c r="BA52" s="219">
        <f>main!R59</f>
        <v>39.78</v>
      </c>
      <c r="BB52" s="219">
        <v>1</v>
      </c>
      <c r="BC52" s="219">
        <f>main!S59</f>
        <v>8.58</v>
      </c>
      <c r="BD52" s="219">
        <v>1</v>
      </c>
    </row>
    <row r="53" spans="1:56">
      <c r="A53" s="216">
        <f>main!A60</f>
        <v>2021</v>
      </c>
      <c r="B53" s="216" t="str">
        <f>main!B60</f>
        <v>47_3800</v>
      </c>
      <c r="C53" s="216">
        <v>6</v>
      </c>
      <c r="D53" s="216" t="str">
        <f>main!$B$54</f>
        <v>McLane-PARFLUX-Mark78H-21 ; frame# 10705, controller# 11649-01 and Motor # 11649-01 Cup set Lx21</v>
      </c>
      <c r="E53" s="216">
        <v>3800</v>
      </c>
      <c r="F53" s="216">
        <v>1</v>
      </c>
      <c r="G53" s="217">
        <f>main!E60</f>
        <v>314</v>
      </c>
      <c r="H53" s="218">
        <f>main!I60</f>
        <v>36.941176470588232</v>
      </c>
      <c r="I53" s="218">
        <f>main!J60</f>
        <v>13.492764705882353</v>
      </c>
      <c r="J53" s="219">
        <v>1</v>
      </c>
      <c r="K53" s="219">
        <f>main!AF60</f>
        <v>67.520281342064521</v>
      </c>
      <c r="L53" s="219">
        <f>main!AG60</f>
        <v>8.1021450251550888</v>
      </c>
      <c r="M53" s="219">
        <v>1</v>
      </c>
      <c r="N53" s="219">
        <f>main!M60</f>
        <v>14.951759338378906</v>
      </c>
      <c r="O53" s="219">
        <v>1</v>
      </c>
      <c r="P53" s="219">
        <f>main!O60</f>
        <v>1.0744222402572632</v>
      </c>
      <c r="Q53" s="219">
        <v>1</v>
      </c>
      <c r="R53" s="219">
        <f>main!AH60</f>
        <v>6.8496143132238174</v>
      </c>
      <c r="S53" s="219">
        <v>1</v>
      </c>
      <c r="T53" s="219">
        <f>main!AB60</f>
        <v>3.2224790756914126</v>
      </c>
      <c r="U53" s="219">
        <v>1</v>
      </c>
      <c r="V53" s="219">
        <f>main!AC60</f>
        <v>6.8935125545851541</v>
      </c>
      <c r="W53" s="219">
        <f t="shared" si="30"/>
        <v>9.1103526902345493</v>
      </c>
      <c r="X53" s="219">
        <f t="shared" si="0"/>
        <v>1.0932033643735286</v>
      </c>
      <c r="Y53" s="219">
        <f t="shared" si="31"/>
        <v>2.0174057069172577</v>
      </c>
      <c r="Z53" s="219">
        <f t="shared" si="32"/>
        <v>0.14496926482558251</v>
      </c>
      <c r="AA53" s="219">
        <f t="shared" si="33"/>
        <v>0.92420234254372913</v>
      </c>
      <c r="AB53" s="219">
        <f t="shared" si="34"/>
        <v>0.93012542896063466</v>
      </c>
      <c r="AC53" s="220">
        <f>main!T60</f>
        <v>44400</v>
      </c>
      <c r="AD53" s="220">
        <f>main!U60</f>
        <v>44417</v>
      </c>
      <c r="AE53" s="220">
        <f>main!V60</f>
        <v>44408.5</v>
      </c>
      <c r="AF53" s="217">
        <f>main!H60</f>
        <v>17</v>
      </c>
      <c r="AG53" s="218">
        <f t="shared" si="35"/>
        <v>0.43480151937933476</v>
      </c>
      <c r="AH53" s="218">
        <f t="shared" si="36"/>
        <v>0.16797716127537535</v>
      </c>
      <c r="AI53" s="218">
        <f t="shared" si="37"/>
        <v>1.0347556375844575E-2</v>
      </c>
      <c r="AJ53" s="218">
        <f t="shared" si="38"/>
        <v>7.6952734599810918E-2</v>
      </c>
      <c r="AK53" s="218">
        <f t="shared" si="39"/>
        <v>9.1024426675564415E-2</v>
      </c>
      <c r="AL53" s="218">
        <f t="shared" si="40"/>
        <v>1.547887217441562E-2</v>
      </c>
      <c r="AM53" s="219">
        <f>depths!$B$4</f>
        <v>3962.9</v>
      </c>
      <c r="AO53" s="219">
        <f t="shared" si="41"/>
        <v>167.97716127537535</v>
      </c>
      <c r="AP53" s="219">
        <v>1</v>
      </c>
      <c r="AQ53" s="219">
        <f t="shared" si="42"/>
        <v>10.347556375844576</v>
      </c>
      <c r="AR53" s="219">
        <v>1</v>
      </c>
      <c r="AS53" s="219">
        <f t="shared" si="43"/>
        <v>76.952734599810924</v>
      </c>
      <c r="AT53" s="219">
        <v>1</v>
      </c>
      <c r="AU53" s="219">
        <f t="shared" si="44"/>
        <v>91.024426675564413</v>
      </c>
      <c r="AV53" s="219">
        <v>1</v>
      </c>
      <c r="AW53" s="219">
        <f t="shared" si="45"/>
        <v>15.478872174415621</v>
      </c>
      <c r="AX53" s="219">
        <v>1</v>
      </c>
      <c r="AY53" s="219">
        <f t="shared" si="46"/>
        <v>7.4368026425495053</v>
      </c>
      <c r="AZ53" s="219">
        <f t="shared" si="47"/>
        <v>8.7967074900942421</v>
      </c>
      <c r="BA53" s="219">
        <f>main!R60</f>
        <v>40.119999999999997</v>
      </c>
      <c r="BB53" s="219">
        <v>1</v>
      </c>
      <c r="BC53" s="219">
        <f>main!S60</f>
        <v>8.58</v>
      </c>
      <c r="BD53" s="219">
        <v>1</v>
      </c>
    </row>
    <row r="54" spans="1:56">
      <c r="A54" s="216">
        <f>main!A61</f>
        <v>2021</v>
      </c>
      <c r="B54" s="216" t="str">
        <f>main!B61</f>
        <v>47_3800</v>
      </c>
      <c r="C54" s="216">
        <v>7</v>
      </c>
      <c r="D54" s="216" t="str">
        <f>main!$B$54</f>
        <v>McLane-PARFLUX-Mark78H-21 ; frame# 10705, controller# 11649-01 and Motor # 11649-01 Cup set Lx21</v>
      </c>
      <c r="E54" s="216">
        <v>3800</v>
      </c>
      <c r="F54" s="216">
        <v>1</v>
      </c>
      <c r="G54" s="217">
        <f>main!E61</f>
        <v>357</v>
      </c>
      <c r="H54" s="218">
        <f>main!I61</f>
        <v>42</v>
      </c>
      <c r="I54" s="218">
        <f>main!J61</f>
        <v>15.3405</v>
      </c>
      <c r="J54" s="219">
        <v>1</v>
      </c>
      <c r="K54" s="219">
        <f>main!AF61</f>
        <v>70.017770472842912</v>
      </c>
      <c r="L54" s="219">
        <f>main!AG61</f>
        <v>8.4018330408759123</v>
      </c>
      <c r="M54" s="219">
        <v>1</v>
      </c>
      <c r="N54" s="219">
        <f>main!M61</f>
        <v>13.824623107910156</v>
      </c>
      <c r="O54" s="219">
        <v>1</v>
      </c>
      <c r="P54" s="219">
        <f>main!O61</f>
        <v>0.85265332460403442</v>
      </c>
      <c r="Q54" s="219">
        <v>1</v>
      </c>
      <c r="R54" s="219">
        <f>main!AH61</f>
        <v>5.4227900670342439</v>
      </c>
      <c r="S54" s="219">
        <v>1</v>
      </c>
      <c r="T54" s="219">
        <f>main!AB61</f>
        <v>3.5328432052526941</v>
      </c>
      <c r="U54" s="219">
        <v>1</v>
      </c>
      <c r="V54" s="219">
        <f>main!AC61</f>
        <v>7.5574420862810392</v>
      </c>
      <c r="W54" s="219">
        <f t="shared" si="30"/>
        <v>10.741076079386467</v>
      </c>
      <c r="X54" s="219">
        <f t="shared" si="0"/>
        <v>1.2888831976355695</v>
      </c>
      <c r="Y54" s="219">
        <f t="shared" si="31"/>
        <v>2.1207663078689576</v>
      </c>
      <c r="Z54" s="219">
        <f t="shared" si="32"/>
        <v>0.13080128326088189</v>
      </c>
      <c r="AA54" s="219">
        <f t="shared" si="33"/>
        <v>0.83188311023338812</v>
      </c>
      <c r="AB54" s="219">
        <f t="shared" si="34"/>
        <v>1.1593494032459428</v>
      </c>
      <c r="AC54" s="220">
        <f>main!T61</f>
        <v>44417</v>
      </c>
      <c r="AD54" s="220">
        <f>main!U61</f>
        <v>44434</v>
      </c>
      <c r="AE54" s="220">
        <f>main!V61</f>
        <v>44425.5</v>
      </c>
      <c r="AF54" s="217">
        <f>main!H61</f>
        <v>17</v>
      </c>
      <c r="AG54" s="218">
        <f t="shared" si="35"/>
        <v>0.54195581190178954</v>
      </c>
      <c r="AH54" s="218">
        <f t="shared" si="36"/>
        <v>0.17658337284504227</v>
      </c>
      <c r="AI54" s="218">
        <f t="shared" si="37"/>
        <v>9.3362800328966374E-3</v>
      </c>
      <c r="AJ54" s="218">
        <f t="shared" si="38"/>
        <v>6.9265870960315418E-2</v>
      </c>
      <c r="AK54" s="218">
        <f t="shared" si="39"/>
        <v>0.10731750188472686</v>
      </c>
      <c r="AL54" s="218">
        <f t="shared" si="40"/>
        <v>1.929354972950479E-2</v>
      </c>
      <c r="AM54" s="219">
        <f>depths!$B$4</f>
        <v>3962.9</v>
      </c>
      <c r="AO54" s="219">
        <f t="shared" si="41"/>
        <v>176.58337284504228</v>
      </c>
      <c r="AP54" s="219">
        <v>1</v>
      </c>
      <c r="AQ54" s="219">
        <f t="shared" si="42"/>
        <v>9.3362800328966369</v>
      </c>
      <c r="AR54" s="219">
        <v>1</v>
      </c>
      <c r="AS54" s="219">
        <f t="shared" si="43"/>
        <v>69.265870960315411</v>
      </c>
      <c r="AT54" s="219">
        <v>1</v>
      </c>
      <c r="AU54" s="219">
        <f t="shared" si="44"/>
        <v>107.31750188472685</v>
      </c>
      <c r="AV54" s="219">
        <v>1</v>
      </c>
      <c r="AW54" s="219">
        <f t="shared" si="45"/>
        <v>19.29354972950479</v>
      </c>
      <c r="AX54" s="219">
        <v>1</v>
      </c>
      <c r="AY54" s="219">
        <f t="shared" si="46"/>
        <v>7.4190010064238896</v>
      </c>
      <c r="AZ54" s="219">
        <f t="shared" si="47"/>
        <v>11.494674699836628</v>
      </c>
      <c r="BA54" s="219">
        <f>main!R61</f>
        <v>39.94</v>
      </c>
      <c r="BB54" s="219">
        <v>1</v>
      </c>
      <c r="BC54" s="219">
        <f>main!S61</f>
        <v>8.6</v>
      </c>
      <c r="BD54" s="219">
        <v>1</v>
      </c>
    </row>
    <row r="55" spans="1:56">
      <c r="A55" s="216">
        <f>main!A62</f>
        <v>2021</v>
      </c>
      <c r="B55" s="216" t="str">
        <f>main!B62</f>
        <v>47_3800</v>
      </c>
      <c r="C55" s="216">
        <v>8</v>
      </c>
      <c r="D55" s="216" t="str">
        <f>main!$B$54</f>
        <v>McLane-PARFLUX-Mark78H-21 ; frame# 10705, controller# 11649-01 and Motor # 11649-01 Cup set Lx21</v>
      </c>
      <c r="E55" s="216">
        <v>3800</v>
      </c>
      <c r="F55" s="216">
        <v>1</v>
      </c>
      <c r="G55" s="217">
        <f>main!E62</f>
        <v>263.52857142857141</v>
      </c>
      <c r="H55" s="218">
        <f>main!I62</f>
        <v>31.003361344537812</v>
      </c>
      <c r="I55" s="218">
        <f>main!J62</f>
        <v>11.323977731092436</v>
      </c>
      <c r="J55" s="219">
        <v>1</v>
      </c>
      <c r="K55" s="219">
        <f>main!AF62</f>
        <v>71.848509565839606</v>
      </c>
      <c r="L55" s="219">
        <f>main!AG62</f>
        <v>8.6215139032753907</v>
      </c>
      <c r="M55" s="219">
        <v>1</v>
      </c>
      <c r="N55" s="219">
        <f>main!M62</f>
        <v>13.053657531738281</v>
      </c>
      <c r="O55" s="219">
        <v>1</v>
      </c>
      <c r="P55" s="219">
        <f>main!O62</f>
        <v>0.63178735971450806</v>
      </c>
      <c r="Q55" s="219">
        <v>1</v>
      </c>
      <c r="R55" s="219">
        <f>main!AH62</f>
        <v>4.4321436284628906</v>
      </c>
      <c r="S55" s="219">
        <v>1</v>
      </c>
      <c r="T55" s="219">
        <f>main!AB62</f>
        <v>3.752734967394602</v>
      </c>
      <c r="U55" s="219">
        <v>1</v>
      </c>
      <c r="V55" s="219">
        <f>main!AC62</f>
        <v>8.0278335418562339</v>
      </c>
      <c r="W55" s="219">
        <f t="shared" si="30"/>
        <v>8.1361092233574954</v>
      </c>
      <c r="X55" s="219">
        <f t="shared" si="0"/>
        <v>0.97629831448994342</v>
      </c>
      <c r="Y55" s="219">
        <f t="shared" si="31"/>
        <v>1.4781932719871134</v>
      </c>
      <c r="Z55" s="219">
        <f t="shared" si="32"/>
        <v>7.154345992192776E-2</v>
      </c>
      <c r="AA55" s="219">
        <f t="shared" si="33"/>
        <v>0.50189495749716995</v>
      </c>
      <c r="AB55" s="219">
        <f t="shared" si="34"/>
        <v>0.90907008256896915</v>
      </c>
      <c r="AC55" s="220">
        <f>main!T62</f>
        <v>44434</v>
      </c>
      <c r="AD55" s="220">
        <f>main!U62</f>
        <v>44451</v>
      </c>
      <c r="AE55" s="220">
        <f>main!V62</f>
        <v>44442.5</v>
      </c>
      <c r="AF55" s="217">
        <f>main!H62</f>
        <v>17</v>
      </c>
      <c r="AG55" s="218">
        <f t="shared" si="35"/>
        <v>0.42495887201468369</v>
      </c>
      <c r="AH55" s="218">
        <f t="shared" si="36"/>
        <v>0.12308020582740328</v>
      </c>
      <c r="AI55" s="218">
        <f t="shared" si="37"/>
        <v>5.1065995661618672E-3</v>
      </c>
      <c r="AJ55" s="218">
        <f t="shared" si="38"/>
        <v>4.1789754995601162E-2</v>
      </c>
      <c r="AK55" s="218">
        <f t="shared" si="39"/>
        <v>8.1290450831802114E-2</v>
      </c>
      <c r="AL55" s="218">
        <f t="shared" si="40"/>
        <v>1.5128475329821421E-2</v>
      </c>
      <c r="AM55" s="219">
        <f>depths!$B$4</f>
        <v>3962.9</v>
      </c>
      <c r="AO55" s="219">
        <f t="shared" si="41"/>
        <v>123.08020582740328</v>
      </c>
      <c r="AP55" s="219">
        <v>1</v>
      </c>
      <c r="AQ55" s="219">
        <f t="shared" si="42"/>
        <v>5.1065995661618668</v>
      </c>
      <c r="AR55" s="219">
        <v>1</v>
      </c>
      <c r="AS55" s="219">
        <f t="shared" si="43"/>
        <v>41.789754995601164</v>
      </c>
      <c r="AT55" s="219">
        <v>1</v>
      </c>
      <c r="AU55" s="219">
        <f t="shared" si="44"/>
        <v>81.290450831802119</v>
      </c>
      <c r="AV55" s="219">
        <v>1</v>
      </c>
      <c r="AW55" s="219">
        <f t="shared" si="45"/>
        <v>15.128475329821422</v>
      </c>
      <c r="AX55" s="219">
        <v>1</v>
      </c>
      <c r="AY55" s="219">
        <f t="shared" si="46"/>
        <v>8.1834799173435968</v>
      </c>
      <c r="AZ55" s="219">
        <f t="shared" si="47"/>
        <v>15.918704762061504</v>
      </c>
      <c r="BA55" s="219">
        <f>main!R62</f>
        <v>39.96</v>
      </c>
      <c r="BB55" s="219">
        <v>1</v>
      </c>
      <c r="BC55" s="219">
        <f>main!S62</f>
        <v>8.64</v>
      </c>
      <c r="BD55" s="219">
        <v>1</v>
      </c>
    </row>
    <row r="56" spans="1:56">
      <c r="A56" s="216">
        <f>main!A63</f>
        <v>2021</v>
      </c>
      <c r="B56" s="216" t="str">
        <f>main!B63</f>
        <v>47_3800</v>
      </c>
      <c r="C56" s="216">
        <v>9</v>
      </c>
      <c r="D56" s="216" t="str">
        <f>main!$B$54</f>
        <v>McLane-PARFLUX-Mark78H-21 ; frame# 10705, controller# 11649-01 and Motor # 11649-01 Cup set Lx21</v>
      </c>
      <c r="E56" s="216">
        <v>3800</v>
      </c>
      <c r="F56" s="216">
        <v>1</v>
      </c>
      <c r="G56" s="217">
        <f>main!E63</f>
        <v>328.78571428571428</v>
      </c>
      <c r="H56" s="218">
        <f>main!I63</f>
        <v>38.680672268907564</v>
      </c>
      <c r="I56" s="218">
        <f>main!J63</f>
        <v>14.128115546218488</v>
      </c>
      <c r="J56" s="219">
        <v>1</v>
      </c>
      <c r="K56" s="219">
        <f>main!AF63</f>
        <v>72.769164706681337</v>
      </c>
      <c r="L56" s="219">
        <f>main!AG63</f>
        <v>8.7319885831936332</v>
      </c>
      <c r="M56" s="219">
        <v>1</v>
      </c>
      <c r="N56" s="219">
        <f>main!M63</f>
        <v>12.87428092956543</v>
      </c>
      <c r="O56" s="219">
        <v>1</v>
      </c>
      <c r="P56" s="219">
        <f>main!O63</f>
        <v>0.57795721292495728</v>
      </c>
      <c r="Q56" s="219">
        <v>1</v>
      </c>
      <c r="R56" s="219">
        <f>main!AH63</f>
        <v>4.1422923463717964</v>
      </c>
      <c r="S56" s="219">
        <v>1</v>
      </c>
      <c r="T56" s="219">
        <f>main!AB63</f>
        <v>3.8853255275347403</v>
      </c>
      <c r="U56" s="219">
        <v>1</v>
      </c>
      <c r="V56" s="219">
        <f>main!AC63</f>
        <v>8.3114706639217708</v>
      </c>
      <c r="W56" s="219">
        <f t="shared" si="30"/>
        <v>10.280911671777982</v>
      </c>
      <c r="X56" s="219">
        <f t="shared" si="0"/>
        <v>1.2336654365162034</v>
      </c>
      <c r="Y56" s="219">
        <f t="shared" si="31"/>
        <v>1.8188932854737756</v>
      </c>
      <c r="Z56" s="219">
        <f t="shared" si="32"/>
        <v>8.1654462849741982E-2</v>
      </c>
      <c r="AA56" s="219">
        <f t="shared" si="33"/>
        <v>0.58522784895757241</v>
      </c>
      <c r="AB56" s="219">
        <f t="shared" si="34"/>
        <v>1.1742541789889207</v>
      </c>
      <c r="AC56" s="220">
        <f>main!T63</f>
        <v>44451</v>
      </c>
      <c r="AD56" s="220">
        <f>main!U63</f>
        <v>44468</v>
      </c>
      <c r="AE56" s="220">
        <f>main!V63</f>
        <v>44459.5</v>
      </c>
      <c r="AF56" s="217">
        <f>main!H63</f>
        <v>17</v>
      </c>
      <c r="AG56" s="218">
        <f t="shared" si="35"/>
        <v>0.54892327987683109</v>
      </c>
      <c r="AH56" s="218">
        <f t="shared" si="36"/>
        <v>0.15144823359481896</v>
      </c>
      <c r="AI56" s="218">
        <f t="shared" si="37"/>
        <v>5.8282985617231966E-3</v>
      </c>
      <c r="AJ56" s="218">
        <f t="shared" si="38"/>
        <v>4.8728380429439833E-2</v>
      </c>
      <c r="AK56" s="218">
        <f t="shared" si="39"/>
        <v>0.10271985316537914</v>
      </c>
      <c r="AL56" s="218">
        <f t="shared" si="40"/>
        <v>1.9541590597252797E-2</v>
      </c>
      <c r="AM56" s="219">
        <f>depths!$B$4</f>
        <v>3962.9</v>
      </c>
      <c r="AO56" s="219">
        <f t="shared" si="41"/>
        <v>151.44823359481896</v>
      </c>
      <c r="AP56" s="219">
        <v>1</v>
      </c>
      <c r="AQ56" s="219">
        <f t="shared" si="42"/>
        <v>5.8282985617231962</v>
      </c>
      <c r="AR56" s="219">
        <v>1</v>
      </c>
      <c r="AS56" s="219">
        <f t="shared" si="43"/>
        <v>48.728380429439831</v>
      </c>
      <c r="AT56" s="219">
        <v>1</v>
      </c>
      <c r="AU56" s="219">
        <f t="shared" si="44"/>
        <v>102.71985316537913</v>
      </c>
      <c r="AV56" s="219">
        <v>1</v>
      </c>
      <c r="AW56" s="219">
        <f t="shared" si="45"/>
        <v>19.541590597252796</v>
      </c>
      <c r="AX56" s="219">
        <v>1</v>
      </c>
      <c r="AY56" s="219">
        <f t="shared" si="46"/>
        <v>8.3606527554128576</v>
      </c>
      <c r="AZ56" s="219">
        <f t="shared" si="47"/>
        <v>17.624329309411522</v>
      </c>
      <c r="BA56" s="219">
        <f>main!R63</f>
        <v>37.89</v>
      </c>
      <c r="BB56" s="219">
        <v>1</v>
      </c>
      <c r="BC56" s="219">
        <f>main!S63</f>
        <v>8.6199999999999992</v>
      </c>
      <c r="BD56" s="219">
        <v>1</v>
      </c>
    </row>
    <row r="57" spans="1:56">
      <c r="A57" s="216">
        <f>main!A64</f>
        <v>2021</v>
      </c>
      <c r="B57" s="216" t="str">
        <f>main!B64</f>
        <v>47_3800</v>
      </c>
      <c r="C57" s="216">
        <v>10</v>
      </c>
      <c r="D57" s="216" t="str">
        <f>main!$B$54</f>
        <v>McLane-PARFLUX-Mark78H-21 ; frame# 10705, controller# 11649-01 and Motor # 11649-01 Cup set Lx21</v>
      </c>
      <c r="E57" s="216">
        <v>3800</v>
      </c>
      <c r="F57" s="216">
        <v>1</v>
      </c>
      <c r="G57" s="217">
        <f>main!E64</f>
        <v>453.81428571428569</v>
      </c>
      <c r="H57" s="218">
        <f>main!I64</f>
        <v>53.389915966386553</v>
      </c>
      <c r="I57" s="218">
        <f>main!J64</f>
        <v>19.500666806722691</v>
      </c>
      <c r="J57" s="219">
        <v>1</v>
      </c>
      <c r="K57" s="219">
        <f>main!AF64</f>
        <v>73.018737628937203</v>
      </c>
      <c r="L57" s="219">
        <f>main!AG64</f>
        <v>8.7619362666196654</v>
      </c>
      <c r="M57" s="219">
        <v>1</v>
      </c>
      <c r="N57" s="219">
        <f>main!M64</f>
        <v>12.646454811096191</v>
      </c>
      <c r="O57" s="219">
        <v>1</v>
      </c>
      <c r="P57" s="219">
        <f>main!O64</f>
        <v>0.54261618852615356</v>
      </c>
      <c r="Q57" s="219">
        <v>1</v>
      </c>
      <c r="R57" s="219">
        <f>main!AH64</f>
        <v>3.884518544476526</v>
      </c>
      <c r="S57" s="219">
        <v>1</v>
      </c>
      <c r="T57" s="219">
        <f>main!AB64</f>
        <v>4.0700171928449258</v>
      </c>
      <c r="U57" s="219">
        <v>1</v>
      </c>
      <c r="V57" s="219">
        <f>main!AC64</f>
        <v>8.706562232753706</v>
      </c>
      <c r="W57" s="219">
        <f t="shared" si="30"/>
        <v>14.239140731494089</v>
      </c>
      <c r="X57" s="219">
        <f t="shared" si="0"/>
        <v>1.7086359971708986</v>
      </c>
      <c r="Y57" s="219">
        <f t="shared" si="31"/>
        <v>2.46614301557462</v>
      </c>
      <c r="Z57" s="219">
        <f t="shared" si="32"/>
        <v>0.10581377496382345</v>
      </c>
      <c r="AA57" s="219">
        <f t="shared" si="33"/>
        <v>0.75750701840372126</v>
      </c>
      <c r="AB57" s="219">
        <f t="shared" si="34"/>
        <v>1.6978376913292561</v>
      </c>
      <c r="AC57" s="220">
        <f>main!T64</f>
        <v>44468</v>
      </c>
      <c r="AD57" s="220">
        <f>main!U64</f>
        <v>44485</v>
      </c>
      <c r="AE57" s="220">
        <f>main!V64</f>
        <v>44476.5</v>
      </c>
      <c r="AF57" s="217">
        <f>main!H64</f>
        <v>17</v>
      </c>
      <c r="AG57" s="218">
        <f t="shared" si="35"/>
        <v>0.79368049175301703</v>
      </c>
      <c r="AH57" s="218">
        <f t="shared" si="36"/>
        <v>0.20534080063069277</v>
      </c>
      <c r="AI57" s="218">
        <f t="shared" si="37"/>
        <v>7.5527319745769773E-3</v>
      </c>
      <c r="AJ57" s="218">
        <f t="shared" si="38"/>
        <v>6.3073024013632073E-2</v>
      </c>
      <c r="AK57" s="218">
        <f t="shared" si="39"/>
        <v>0.14226777661706067</v>
      </c>
      <c r="AL57" s="218">
        <f t="shared" si="40"/>
        <v>2.8254912486757461E-2</v>
      </c>
      <c r="AM57" s="219">
        <f>depths!$B$4</f>
        <v>3962.9</v>
      </c>
      <c r="AO57" s="219">
        <f t="shared" si="41"/>
        <v>205.34080063069277</v>
      </c>
      <c r="AP57" s="219">
        <v>1</v>
      </c>
      <c r="AQ57" s="219">
        <f t="shared" si="42"/>
        <v>7.552731974576977</v>
      </c>
      <c r="AR57" s="219">
        <v>1</v>
      </c>
      <c r="AS57" s="219">
        <f t="shared" si="43"/>
        <v>63.073024013632072</v>
      </c>
      <c r="AT57" s="219">
        <v>1</v>
      </c>
      <c r="AU57" s="219">
        <f t="shared" si="44"/>
        <v>142.26777661706066</v>
      </c>
      <c r="AV57" s="219">
        <v>1</v>
      </c>
      <c r="AW57" s="219">
        <f t="shared" si="45"/>
        <v>28.254912486757462</v>
      </c>
      <c r="AX57" s="219">
        <v>1</v>
      </c>
      <c r="AY57" s="219">
        <f t="shared" si="46"/>
        <v>8.351021090903302</v>
      </c>
      <c r="AZ57" s="219">
        <f t="shared" si="47"/>
        <v>18.836598080793006</v>
      </c>
      <c r="BA57" s="219">
        <f>main!R64</f>
        <v>39.51</v>
      </c>
      <c r="BB57" s="219">
        <v>1</v>
      </c>
      <c r="BC57" s="219">
        <f>main!S64</f>
        <v>8.6300000000000008</v>
      </c>
      <c r="BD57" s="219">
        <v>1</v>
      </c>
    </row>
    <row r="58" spans="1:56">
      <c r="A58" s="216">
        <f>main!A65</f>
        <v>2021</v>
      </c>
      <c r="B58" s="216" t="str">
        <f>main!B65</f>
        <v>47_3800</v>
      </c>
      <c r="C58" s="216">
        <v>11</v>
      </c>
      <c r="D58" s="216" t="str">
        <f>main!$B$54</f>
        <v>McLane-PARFLUX-Mark78H-21 ; frame# 10705, controller# 11649-01 and Motor # 11649-01 Cup set Lx21</v>
      </c>
      <c r="E58" s="216">
        <v>3800</v>
      </c>
      <c r="F58" s="216">
        <v>1</v>
      </c>
      <c r="G58" s="217">
        <f>main!E65</f>
        <v>555.02857142857135</v>
      </c>
      <c r="H58" s="218">
        <f>main!I65</f>
        <v>65.297478991596634</v>
      </c>
      <c r="I58" s="218">
        <f>main!J65</f>
        <v>23.849904201680673</v>
      </c>
      <c r="J58" s="219">
        <v>1</v>
      </c>
      <c r="K58" s="219">
        <f>main!AF65</f>
        <v>72.319518179165954</v>
      </c>
      <c r="L58" s="219">
        <f>main!AG65</f>
        <v>8.6780329227079971</v>
      </c>
      <c r="M58" s="219">
        <v>1</v>
      </c>
      <c r="N58" s="219">
        <f>main!M65</f>
        <v>13.484996795654297</v>
      </c>
      <c r="O58" s="219">
        <v>1</v>
      </c>
      <c r="P58" s="219">
        <f>main!O65</f>
        <v>0.6728757917881012</v>
      </c>
      <c r="Q58" s="219">
        <v>1</v>
      </c>
      <c r="R58" s="219">
        <f>main!AH65</f>
        <v>4.8069638729462998</v>
      </c>
      <c r="S58" s="219">
        <v>1</v>
      </c>
      <c r="T58" s="219">
        <f>main!AB65</f>
        <v>3.9204810202317377</v>
      </c>
      <c r="U58" s="219">
        <v>1</v>
      </c>
      <c r="V58" s="219">
        <f>main!AC65</f>
        <v>8.3866751337032799</v>
      </c>
      <c r="W58" s="219">
        <f t="shared" si="30"/>
        <v>17.248135804848118</v>
      </c>
      <c r="X58" s="219">
        <f t="shared" si="0"/>
        <v>2.0697025386561667</v>
      </c>
      <c r="Y58" s="219">
        <f t="shared" si="31"/>
        <v>3.2161588173632585</v>
      </c>
      <c r="Z58" s="219">
        <f t="shared" si="32"/>
        <v>0.16048023173776244</v>
      </c>
      <c r="AA58" s="219">
        <f t="shared" si="33"/>
        <v>1.1464562787070915</v>
      </c>
      <c r="AB58" s="219">
        <f t="shared" si="34"/>
        <v>2.0002139850944065</v>
      </c>
      <c r="AC58" s="220">
        <f>main!T65</f>
        <v>44485</v>
      </c>
      <c r="AD58" s="220">
        <f>main!U65</f>
        <v>44502</v>
      </c>
      <c r="AE58" s="220">
        <f>main!V65</f>
        <v>44493.5</v>
      </c>
      <c r="AF58" s="217">
        <f>main!H65</f>
        <v>17</v>
      </c>
      <c r="AG58" s="218">
        <f t="shared" si="35"/>
        <v>0.93503096757034254</v>
      </c>
      <c r="AH58" s="218">
        <f t="shared" si="36"/>
        <v>0.26779007638328545</v>
      </c>
      <c r="AI58" s="218">
        <f t="shared" si="37"/>
        <v>1.1454691772859561E-2</v>
      </c>
      <c r="AJ58" s="218">
        <f t="shared" si="38"/>
        <v>9.5458474496843596E-2</v>
      </c>
      <c r="AK58" s="218">
        <f t="shared" si="39"/>
        <v>0.17233160188644187</v>
      </c>
      <c r="AL58" s="218">
        <f t="shared" si="40"/>
        <v>3.3286969297627006E-2</v>
      </c>
      <c r="AM58" s="219">
        <f>depths!$B$4</f>
        <v>3962.9</v>
      </c>
      <c r="AO58" s="219">
        <f t="shared" si="41"/>
        <v>267.79007638328545</v>
      </c>
      <c r="AP58" s="219">
        <v>1</v>
      </c>
      <c r="AQ58" s="219">
        <f t="shared" si="42"/>
        <v>11.45469177285956</v>
      </c>
      <c r="AR58" s="219">
        <v>1</v>
      </c>
      <c r="AS58" s="219">
        <f t="shared" si="43"/>
        <v>95.458474496843593</v>
      </c>
      <c r="AT58" s="219">
        <v>1</v>
      </c>
      <c r="AU58" s="219">
        <f t="shared" si="44"/>
        <v>172.33160188644186</v>
      </c>
      <c r="AV58" s="219">
        <v>1</v>
      </c>
      <c r="AW58" s="219">
        <f t="shared" si="45"/>
        <v>33.286969297627003</v>
      </c>
      <c r="AX58" s="219">
        <v>1</v>
      </c>
      <c r="AY58" s="219">
        <f t="shared" si="46"/>
        <v>8.3335698934318199</v>
      </c>
      <c r="AZ58" s="219">
        <f t="shared" si="47"/>
        <v>15.044630209497191</v>
      </c>
      <c r="BA58" s="219">
        <f>main!R65</f>
        <v>39.549999999999997</v>
      </c>
      <c r="BB58" s="219">
        <v>1</v>
      </c>
      <c r="BC58" s="219">
        <f>main!S65</f>
        <v>8.6</v>
      </c>
      <c r="BD58" s="219">
        <v>1</v>
      </c>
    </row>
    <row r="59" spans="1:56">
      <c r="A59" s="216">
        <f>main!A66</f>
        <v>2021</v>
      </c>
      <c r="B59" s="216" t="str">
        <f>main!B66</f>
        <v>47_3800</v>
      </c>
      <c r="C59" s="216">
        <v>12</v>
      </c>
      <c r="D59" s="216" t="str">
        <f>main!$B$54</f>
        <v>McLane-PARFLUX-Mark78H-21 ; frame# 10705, controller# 11649-01 and Motor # 11649-01 Cup set Lx21</v>
      </c>
      <c r="E59" s="216">
        <v>3800</v>
      </c>
      <c r="F59" s="216">
        <v>1</v>
      </c>
      <c r="G59" s="217">
        <f>main!E66</f>
        <v>728.32857142857154</v>
      </c>
      <c r="H59" s="218">
        <f>main!I66</f>
        <v>85.685714285714297</v>
      </c>
      <c r="I59" s="218">
        <f>main!J66</f>
        <v>31.296707142857151</v>
      </c>
      <c r="J59" s="219">
        <v>1</v>
      </c>
      <c r="K59" s="219">
        <f>main!AF66</f>
        <v>73.744515220353975</v>
      </c>
      <c r="L59" s="219">
        <f>main!AG66</f>
        <v>8.8490264739586433</v>
      </c>
      <c r="M59" s="219">
        <v>1</v>
      </c>
      <c r="N59" s="219">
        <f>main!M66</f>
        <v>13.870151519775391</v>
      </c>
      <c r="O59" s="219">
        <v>3</v>
      </c>
      <c r="P59" s="219">
        <f>main!O66</f>
        <v>0.6909220814704895</v>
      </c>
      <c r="Q59" s="219">
        <v>1</v>
      </c>
      <c r="R59" s="219">
        <f>main!AH66</f>
        <v>5.0211250458167473</v>
      </c>
      <c r="S59" s="219">
        <v>3</v>
      </c>
      <c r="T59" s="219">
        <f>main!AB66</f>
        <v>3.6519043817454229</v>
      </c>
      <c r="U59" s="219">
        <v>1</v>
      </c>
      <c r="V59" s="219">
        <f>main!AC66</f>
        <v>7.8121372124984854</v>
      </c>
      <c r="W59" s="219">
        <f t="shared" si="30"/>
        <v>23.079604962433901</v>
      </c>
      <c r="X59" s="219">
        <f t="shared" si="0"/>
        <v>2.7694539005487351</v>
      </c>
      <c r="Y59" s="219">
        <f t="shared" si="31"/>
        <v>4.3409007014146539</v>
      </c>
      <c r="Z59" s="219">
        <f t="shared" si="32"/>
        <v>0.21623586042315202</v>
      </c>
      <c r="AA59" s="219">
        <f t="shared" si="33"/>
        <v>1.5714468008659195</v>
      </c>
      <c r="AB59" s="219">
        <f t="shared" si="34"/>
        <v>2.4449417049938149</v>
      </c>
      <c r="AC59" s="220">
        <f>main!T66</f>
        <v>44502</v>
      </c>
      <c r="AD59" s="220">
        <f>main!U66</f>
        <v>44519</v>
      </c>
      <c r="AE59" s="220">
        <f>main!V66</f>
        <v>44510.5</v>
      </c>
      <c r="AF59" s="217">
        <f>main!H66</f>
        <v>17</v>
      </c>
      <c r="AG59" s="218">
        <f t="shared" si="35"/>
        <v>1.1429258194920331</v>
      </c>
      <c r="AH59" s="218">
        <f t="shared" si="36"/>
        <v>0.36144052468065396</v>
      </c>
      <c r="AI59" s="218">
        <f t="shared" si="37"/>
        <v>1.5434394034486225E-2</v>
      </c>
      <c r="AJ59" s="218">
        <f t="shared" si="38"/>
        <v>0.13084486268658779</v>
      </c>
      <c r="AK59" s="218">
        <f t="shared" si="39"/>
        <v>0.2305956619940662</v>
      </c>
      <c r="AL59" s="218">
        <f t="shared" si="40"/>
        <v>4.0687996421930689E-2</v>
      </c>
      <c r="AM59" s="219">
        <f>depths!$B$4</f>
        <v>3962.9</v>
      </c>
      <c r="AO59" s="219">
        <f t="shared" si="41"/>
        <v>361.44052468065394</v>
      </c>
      <c r="AP59" s="219">
        <v>3</v>
      </c>
      <c r="AQ59" s="219">
        <f t="shared" si="42"/>
        <v>15.434394034486225</v>
      </c>
      <c r="AR59" s="219">
        <v>1</v>
      </c>
      <c r="AS59" s="219">
        <f t="shared" si="43"/>
        <v>130.84486268658779</v>
      </c>
      <c r="AT59" s="219">
        <v>3</v>
      </c>
      <c r="AU59" s="219">
        <f t="shared" si="44"/>
        <v>230.59566199406621</v>
      </c>
      <c r="AV59" s="219">
        <v>1</v>
      </c>
      <c r="AW59" s="219">
        <f t="shared" si="45"/>
        <v>40.687996421930691</v>
      </c>
      <c r="AX59" s="219">
        <v>1</v>
      </c>
      <c r="AY59" s="219">
        <f t="shared" si="46"/>
        <v>8.4774862164482325</v>
      </c>
      <c r="AZ59" s="219">
        <f t="shared" si="47"/>
        <v>14.940376763663608</v>
      </c>
      <c r="BA59" s="219">
        <f>main!R66</f>
        <v>38.19</v>
      </c>
      <c r="BB59" s="219">
        <v>1</v>
      </c>
      <c r="BC59" s="219">
        <f>main!S66</f>
        <v>8.5500000000000007</v>
      </c>
      <c r="BD59" s="219">
        <v>1</v>
      </c>
    </row>
    <row r="60" spans="1:56">
      <c r="A60" s="216">
        <f>main!A67</f>
        <v>2021</v>
      </c>
      <c r="B60" s="216" t="str">
        <f>main!B67</f>
        <v>47_3800</v>
      </c>
      <c r="C60" s="216">
        <v>13</v>
      </c>
      <c r="D60" s="216" t="str">
        <f>main!$B$54</f>
        <v>McLane-PARFLUX-Mark78H-21 ; frame# 10705, controller# 11649-01 and Motor # 11649-01 Cup set Lx21</v>
      </c>
      <c r="E60" s="216">
        <v>3800</v>
      </c>
      <c r="F60" s="216">
        <v>1</v>
      </c>
      <c r="G60" s="217">
        <f>main!E67</f>
        <v>695.18571428571431</v>
      </c>
      <c r="H60" s="218">
        <f>main!I67</f>
        <v>81.786554621848737</v>
      </c>
      <c r="I60" s="218">
        <f>main!J67</f>
        <v>29.872539075630254</v>
      </c>
      <c r="J60" s="219">
        <v>1</v>
      </c>
      <c r="K60" s="219">
        <f>main!AF67</f>
        <v>71.72150652687445</v>
      </c>
      <c r="L60" s="219">
        <f>main!AG67</f>
        <v>8.606274081700624</v>
      </c>
      <c r="M60" s="219">
        <v>1</v>
      </c>
      <c r="N60" s="219">
        <f>main!M67</f>
        <v>13.592611312866211</v>
      </c>
      <c r="O60" s="219">
        <v>1</v>
      </c>
      <c r="P60" s="219">
        <f>main!O67</f>
        <v>0.69899576902389526</v>
      </c>
      <c r="Q60" s="219">
        <v>1</v>
      </c>
      <c r="R60" s="219">
        <f>main!AH67</f>
        <v>4.9863372311655869</v>
      </c>
      <c r="S60" s="219">
        <v>1</v>
      </c>
      <c r="T60" s="219">
        <f>main!AB67</f>
        <v>4.1673051467288884</v>
      </c>
      <c r="U60" s="219">
        <v>1</v>
      </c>
      <c r="V60" s="219">
        <f>main!AC67</f>
        <v>8.9146801803823035</v>
      </c>
      <c r="W60" s="219">
        <f t="shared" si="30"/>
        <v>21.42503506287127</v>
      </c>
      <c r="X60" s="219">
        <f t="shared" si="0"/>
        <v>2.5709125880118577</v>
      </c>
      <c r="Y60" s="219">
        <f t="shared" si="31"/>
        <v>4.0604581258344972</v>
      </c>
      <c r="Z60" s="219">
        <f t="shared" si="32"/>
        <v>0.20880778423866531</v>
      </c>
      <c r="AA60" s="219">
        <f t="shared" si="33"/>
        <v>1.4895455378226397</v>
      </c>
      <c r="AB60" s="219">
        <f t="shared" si="34"/>
        <v>2.663041320352169</v>
      </c>
      <c r="AC60" s="220">
        <f>main!T67</f>
        <v>44519</v>
      </c>
      <c r="AD60" s="220">
        <f>main!U67</f>
        <v>44536</v>
      </c>
      <c r="AE60" s="220">
        <f>main!V67</f>
        <v>44527.5</v>
      </c>
      <c r="AF60" s="217">
        <f>main!H67</f>
        <v>17</v>
      </c>
      <c r="AG60" s="218">
        <f t="shared" si="35"/>
        <v>1.2448798583573379</v>
      </c>
      <c r="AH60" s="218">
        <f t="shared" si="36"/>
        <v>0.33808976901203142</v>
      </c>
      <c r="AI60" s="218">
        <f t="shared" si="37"/>
        <v>1.4904195877135283E-2</v>
      </c>
      <c r="AJ60" s="218">
        <f t="shared" si="38"/>
        <v>0.12402544028498248</v>
      </c>
      <c r="AK60" s="218">
        <f t="shared" si="39"/>
        <v>0.21406432872704895</v>
      </c>
      <c r="AL60" s="218">
        <f t="shared" si="40"/>
        <v>4.4317545687338485E-2</v>
      </c>
      <c r="AM60" s="219">
        <f>depths!$B$4</f>
        <v>3962.9</v>
      </c>
      <c r="AO60" s="219">
        <f t="shared" si="41"/>
        <v>338.08976901203141</v>
      </c>
      <c r="AP60" s="219">
        <v>1</v>
      </c>
      <c r="AQ60" s="219">
        <f t="shared" si="42"/>
        <v>14.904195877135283</v>
      </c>
      <c r="AR60" s="219">
        <v>1</v>
      </c>
      <c r="AS60" s="219">
        <f t="shared" si="43"/>
        <v>124.02544028498248</v>
      </c>
      <c r="AT60" s="219">
        <v>1</v>
      </c>
      <c r="AU60" s="219">
        <f t="shared" si="44"/>
        <v>214.06432872704895</v>
      </c>
      <c r="AV60" s="219">
        <v>1</v>
      </c>
      <c r="AW60" s="219">
        <f t="shared" si="45"/>
        <v>44.317545687338487</v>
      </c>
      <c r="AX60" s="219">
        <v>1</v>
      </c>
      <c r="AY60" s="219">
        <f t="shared" si="46"/>
        <v>8.3215116942505762</v>
      </c>
      <c r="AZ60" s="219">
        <f t="shared" si="47"/>
        <v>14.362688902622903</v>
      </c>
      <c r="BA60" s="219">
        <f>main!R67</f>
        <v>39.89</v>
      </c>
      <c r="BB60" s="219">
        <v>1</v>
      </c>
      <c r="BC60" s="219">
        <f>main!S67</f>
        <v>8.57</v>
      </c>
      <c r="BD60" s="219">
        <v>1</v>
      </c>
    </row>
    <row r="61" spans="1:56">
      <c r="A61" s="216">
        <f>main!A68</f>
        <v>2021</v>
      </c>
      <c r="B61" s="216" t="str">
        <f>main!B68</f>
        <v>47_3800</v>
      </c>
      <c r="C61" s="216">
        <v>14</v>
      </c>
      <c r="D61" s="216" t="str">
        <f>main!$B$54</f>
        <v>McLane-PARFLUX-Mark78H-21 ; frame# 10705, controller# 11649-01 and Motor # 11649-01 Cup set Lx21</v>
      </c>
      <c r="E61" s="216">
        <v>3800</v>
      </c>
      <c r="F61" s="216">
        <v>1</v>
      </c>
      <c r="G61" s="217">
        <f>main!E68</f>
        <v>667.09999999999991</v>
      </c>
      <c r="H61" s="218">
        <f>main!I68</f>
        <v>78.482352941176458</v>
      </c>
      <c r="I61" s="218">
        <f>main!J68</f>
        <v>28.665679411764703</v>
      </c>
      <c r="J61" s="219">
        <v>1</v>
      </c>
      <c r="K61" s="219">
        <f>main!AF68</f>
        <v>71.866061243464856</v>
      </c>
      <c r="L61" s="219">
        <f>main!AG68</f>
        <v>8.6236200295344627</v>
      </c>
      <c r="M61" s="219">
        <v>1</v>
      </c>
      <c r="N61" s="219">
        <f>main!M68</f>
        <v>12.755533218383789</v>
      </c>
      <c r="O61" s="219">
        <v>1</v>
      </c>
      <c r="P61" s="219">
        <f>main!O68</f>
        <v>0.57462620735168457</v>
      </c>
      <c r="Q61" s="219">
        <v>1</v>
      </c>
      <c r="R61" s="219">
        <f>main!AH68</f>
        <v>4.1319131888493263</v>
      </c>
      <c r="S61" s="219">
        <v>1</v>
      </c>
      <c r="T61" s="219">
        <f>main!AB68</f>
        <v>5.1718812625250496</v>
      </c>
      <c r="U61" s="219">
        <v>1</v>
      </c>
      <c r="V61" s="219">
        <f>main!AC68</f>
        <v>11.06366482965932</v>
      </c>
      <c r="W61" s="219">
        <f t="shared" si="30"/>
        <v>20.600894721914116</v>
      </c>
      <c r="X61" s="219">
        <f t="shared" si="0"/>
        <v>2.4720192713550775</v>
      </c>
      <c r="Y61" s="219">
        <f t="shared" si="31"/>
        <v>3.6564602596430493</v>
      </c>
      <c r="Z61" s="219">
        <f t="shared" si="32"/>
        <v>0.16472050641541619</v>
      </c>
      <c r="AA61" s="219">
        <f t="shared" si="33"/>
        <v>1.1844409882879716</v>
      </c>
      <c r="AB61" s="219">
        <f t="shared" si="34"/>
        <v>3.1714746912623042</v>
      </c>
      <c r="AC61" s="220">
        <f>main!T68</f>
        <v>44536</v>
      </c>
      <c r="AD61" s="220">
        <f>main!U68</f>
        <v>44553</v>
      </c>
      <c r="AE61" s="220">
        <f>main!V68</f>
        <v>44544.5</v>
      </c>
      <c r="AF61" s="217">
        <f>main!H68</f>
        <v>17</v>
      </c>
      <c r="AG61" s="218">
        <f t="shared" si="35"/>
        <v>1.4825549022725595</v>
      </c>
      <c r="AH61" s="218">
        <f t="shared" si="36"/>
        <v>0.30445131221007904</v>
      </c>
      <c r="AI61" s="218">
        <f t="shared" si="37"/>
        <v>1.1757352349422998E-2</v>
      </c>
      <c r="AJ61" s="218">
        <f t="shared" si="38"/>
        <v>9.8621231331221623E-2</v>
      </c>
      <c r="AK61" s="218">
        <f t="shared" si="39"/>
        <v>0.2058300808788574</v>
      </c>
      <c r="AL61" s="218">
        <f t="shared" si="40"/>
        <v>5.2778743405929494E-2</v>
      </c>
      <c r="AM61" s="219">
        <f>depths!$B$4</f>
        <v>3962.9</v>
      </c>
      <c r="AO61" s="219">
        <f t="shared" si="41"/>
        <v>304.45131221007904</v>
      </c>
      <c r="AP61" s="219">
        <v>1</v>
      </c>
      <c r="AQ61" s="219">
        <f t="shared" si="42"/>
        <v>11.757352349422998</v>
      </c>
      <c r="AR61" s="219">
        <v>1</v>
      </c>
      <c r="AS61" s="219">
        <f t="shared" si="43"/>
        <v>98.621231331221622</v>
      </c>
      <c r="AT61" s="219">
        <v>1</v>
      </c>
      <c r="AU61" s="219">
        <f t="shared" si="44"/>
        <v>205.83008087885742</v>
      </c>
      <c r="AV61" s="219">
        <v>1</v>
      </c>
      <c r="AW61" s="219">
        <f t="shared" si="45"/>
        <v>52.778743405929497</v>
      </c>
      <c r="AX61" s="219">
        <v>1</v>
      </c>
      <c r="AY61" s="219">
        <f t="shared" si="46"/>
        <v>8.3880476148238881</v>
      </c>
      <c r="AZ61" s="219">
        <f t="shared" si="47"/>
        <v>17.506499317336417</v>
      </c>
      <c r="BA61" s="219">
        <f>main!R68</f>
        <v>39.85</v>
      </c>
      <c r="BB61" s="219">
        <v>1</v>
      </c>
      <c r="BC61" s="219">
        <f>main!S68</f>
        <v>8.59</v>
      </c>
      <c r="BD61" s="219">
        <v>1</v>
      </c>
    </row>
    <row r="62" spans="1:56">
      <c r="A62" s="216">
        <f>main!A69</f>
        <v>2021</v>
      </c>
      <c r="B62" s="216" t="str">
        <f>main!B69</f>
        <v>47_3800</v>
      </c>
      <c r="C62" s="216">
        <v>15</v>
      </c>
      <c r="D62" s="216" t="str">
        <f>main!$B$54</f>
        <v>McLane-PARFLUX-Mark78H-21 ; frame# 10705, controller# 11649-01 and Motor # 11649-01 Cup set Lx21</v>
      </c>
      <c r="E62" s="216">
        <v>3800</v>
      </c>
      <c r="F62" s="216">
        <v>1</v>
      </c>
      <c r="G62" s="217">
        <f>main!E69</f>
        <v>591.7285714285714</v>
      </c>
      <c r="H62" s="218">
        <f>main!I69</f>
        <v>69.615126050420159</v>
      </c>
      <c r="I62" s="218">
        <f>main!J69</f>
        <v>25.426924789915965</v>
      </c>
      <c r="J62" s="219">
        <v>1</v>
      </c>
      <c r="K62" s="219">
        <f>main!AF69</f>
        <v>69.301719304295517</v>
      </c>
      <c r="L62" s="219">
        <f>main!AG69</f>
        <v>8.3159099626883144</v>
      </c>
      <c r="M62" s="219">
        <v>1</v>
      </c>
      <c r="N62" s="219">
        <f>main!M69</f>
        <v>12.204427719116211</v>
      </c>
      <c r="O62" s="219">
        <v>1</v>
      </c>
      <c r="P62" s="219">
        <f>main!O69</f>
        <v>0.54127126932144165</v>
      </c>
      <c r="Q62" s="219">
        <v>1</v>
      </c>
      <c r="R62" s="219">
        <f>main!AH69</f>
        <v>3.8885177564278965</v>
      </c>
      <c r="S62" s="219">
        <v>1</v>
      </c>
      <c r="T62" s="219">
        <f>main!AB69</f>
        <v>6.6282997173113172</v>
      </c>
      <c r="U62" s="219">
        <v>1</v>
      </c>
      <c r="V62" s="219">
        <f>main!AC69</f>
        <v>14.179228551557033</v>
      </c>
      <c r="W62" s="219">
        <f t="shared" si="30"/>
        <v>17.621296045621897</v>
      </c>
      <c r="X62" s="219">
        <f t="shared" si="0"/>
        <v>2.1144801718098867</v>
      </c>
      <c r="Y62" s="219">
        <f t="shared" si="31"/>
        <v>3.1032106571793352</v>
      </c>
      <c r="Z62" s="219">
        <f t="shared" si="32"/>
        <v>0.13762863855978646</v>
      </c>
      <c r="AA62" s="219">
        <f t="shared" si="33"/>
        <v>0.98873048536944885</v>
      </c>
      <c r="AB62" s="219">
        <f t="shared" si="34"/>
        <v>3.6053417795946974</v>
      </c>
      <c r="AC62" s="220">
        <f>main!T69</f>
        <v>44553</v>
      </c>
      <c r="AD62" s="220">
        <f>main!U69</f>
        <v>44570</v>
      </c>
      <c r="AE62" s="220">
        <f>main!V69</f>
        <v>44561.5</v>
      </c>
      <c r="AF62" s="217">
        <f>main!H69</f>
        <v>17</v>
      </c>
      <c r="AG62" s="218">
        <f t="shared" si="35"/>
        <v>1.6853727839709611</v>
      </c>
      <c r="AH62" s="218">
        <f t="shared" si="36"/>
        <v>0.25838556679261743</v>
      </c>
      <c r="AI62" s="218">
        <f t="shared" si="37"/>
        <v>9.8236001827113825E-3</v>
      </c>
      <c r="AJ62" s="218">
        <f t="shared" si="38"/>
        <v>8.2325602445416229E-2</v>
      </c>
      <c r="AK62" s="218">
        <f t="shared" si="39"/>
        <v>0.17605996434720123</v>
      </c>
      <c r="AL62" s="218">
        <f t="shared" si="40"/>
        <v>5.9999031113241764E-2</v>
      </c>
      <c r="AM62" s="219">
        <f>depths!$B$4</f>
        <v>3962.9</v>
      </c>
      <c r="AO62" s="219">
        <f t="shared" si="41"/>
        <v>258.38556679261745</v>
      </c>
      <c r="AP62" s="219">
        <v>1</v>
      </c>
      <c r="AQ62" s="219">
        <f t="shared" si="42"/>
        <v>9.8236001827113828</v>
      </c>
      <c r="AR62" s="219">
        <v>1</v>
      </c>
      <c r="AS62" s="219">
        <f t="shared" si="43"/>
        <v>82.325602445416223</v>
      </c>
      <c r="AT62" s="219">
        <v>1</v>
      </c>
      <c r="AU62" s="219">
        <f t="shared" si="44"/>
        <v>176.05996434720123</v>
      </c>
      <c r="AV62" s="219">
        <v>1</v>
      </c>
      <c r="AW62" s="219">
        <f t="shared" si="45"/>
        <v>59.999031113241763</v>
      </c>
      <c r="AX62" s="219">
        <v>1</v>
      </c>
      <c r="AY62" s="219">
        <f t="shared" si="46"/>
        <v>8.3803901740933622</v>
      </c>
      <c r="AZ62" s="219">
        <f t="shared" si="47"/>
        <v>17.922142704570806</v>
      </c>
      <c r="BA62" s="219">
        <f>main!R69</f>
        <v>37.5</v>
      </c>
      <c r="BB62" s="219">
        <v>1</v>
      </c>
      <c r="BC62" s="219">
        <f>main!S69</f>
        <v>8.56</v>
      </c>
      <c r="BD62" s="219">
        <v>1</v>
      </c>
    </row>
    <row r="63" spans="1:56">
      <c r="A63" s="216">
        <f>main!A70</f>
        <v>2021</v>
      </c>
      <c r="B63" s="216" t="str">
        <f>main!B70</f>
        <v>47_3800</v>
      </c>
      <c r="C63" s="216">
        <v>16</v>
      </c>
      <c r="D63" s="216" t="str">
        <f>main!$B$54</f>
        <v>McLane-PARFLUX-Mark78H-21 ; frame# 10705, controller# 11649-01 and Motor # 11649-01 Cup set Lx21</v>
      </c>
      <c r="E63" s="216">
        <v>3800</v>
      </c>
      <c r="F63" s="216">
        <v>1</v>
      </c>
      <c r="G63" s="217">
        <f>main!E70</f>
        <v>1266.7714285714285</v>
      </c>
      <c r="H63" s="218">
        <f>main!I70</f>
        <v>149.03193277310925</v>
      </c>
      <c r="I63" s="218">
        <f>main!J70</f>
        <v>54.433913445378153</v>
      </c>
      <c r="J63" s="219">
        <v>1</v>
      </c>
      <c r="K63" s="219">
        <f>main!AF70</f>
        <v>51.513612249116875</v>
      </c>
      <c r="L63" s="219">
        <f>main!AG70</f>
        <v>6.1814131830628556</v>
      </c>
      <c r="M63" s="219">
        <v>1</v>
      </c>
      <c r="N63" s="219">
        <f>main!M70</f>
        <v>12.265636920928955</v>
      </c>
      <c r="O63" s="219">
        <v>1</v>
      </c>
      <c r="P63" s="219">
        <f>main!O70</f>
        <v>0.85873132944107056</v>
      </c>
      <c r="Q63" s="219">
        <v>1</v>
      </c>
      <c r="R63" s="219">
        <f>main!AH70</f>
        <v>6.0842237378660995</v>
      </c>
      <c r="S63" s="219">
        <v>1</v>
      </c>
      <c r="T63" s="219">
        <f>main!AB70</f>
        <v>12.103515193227285</v>
      </c>
      <c r="U63" s="219">
        <v>1</v>
      </c>
      <c r="V63" s="219">
        <f>main!AC70</f>
        <v>25.891784548274387</v>
      </c>
      <c r="W63" s="219">
        <f t="shared" si="30"/>
        <v>28.040875104272001</v>
      </c>
      <c r="X63" s="219">
        <f t="shared" si="0"/>
        <v>3.3647851017696291</v>
      </c>
      <c r="Y63" s="219">
        <f t="shared" si="31"/>
        <v>6.6766661850628131</v>
      </c>
      <c r="Z63" s="219">
        <f t="shared" si="32"/>
        <v>0.46744106859629742</v>
      </c>
      <c r="AA63" s="219">
        <f t="shared" si="33"/>
        <v>3.311881083293184</v>
      </c>
      <c r="AB63" s="219">
        <f t="shared" si="34"/>
        <v>14.093911590471475</v>
      </c>
      <c r="AC63" s="220">
        <f>main!T70</f>
        <v>44570</v>
      </c>
      <c r="AD63" s="220">
        <f>main!U70</f>
        <v>44587</v>
      </c>
      <c r="AE63" s="220">
        <f>main!V70</f>
        <v>44578.5</v>
      </c>
      <c r="AF63" s="217">
        <f>main!H70</f>
        <v>17</v>
      </c>
      <c r="AG63" s="218">
        <f t="shared" si="35"/>
        <v>6.5884169841295348</v>
      </c>
      <c r="AH63" s="218">
        <f t="shared" si="36"/>
        <v>0.55592557744070048</v>
      </c>
      <c r="AI63" s="218">
        <f t="shared" si="37"/>
        <v>3.3364815745631507E-2</v>
      </c>
      <c r="AJ63" s="218">
        <f t="shared" si="38"/>
        <v>0.27576029003273805</v>
      </c>
      <c r="AK63" s="218">
        <f t="shared" si="39"/>
        <v>0.28016528740796248</v>
      </c>
      <c r="AL63" s="218">
        <f t="shared" si="40"/>
        <v>0.23454670644818565</v>
      </c>
      <c r="AM63" s="219">
        <f>depths!$B$4</f>
        <v>3962.9</v>
      </c>
      <c r="AO63" s="219">
        <f t="shared" si="41"/>
        <v>555.92557744070052</v>
      </c>
      <c r="AP63" s="219">
        <v>1</v>
      </c>
      <c r="AQ63" s="219">
        <f t="shared" si="42"/>
        <v>33.36481574563151</v>
      </c>
      <c r="AR63" s="219">
        <v>1</v>
      </c>
      <c r="AS63" s="219">
        <f t="shared" si="43"/>
        <v>275.76029003273806</v>
      </c>
      <c r="AT63" s="219">
        <v>1</v>
      </c>
      <c r="AU63" s="219">
        <f t="shared" si="44"/>
        <v>280.16528740796247</v>
      </c>
      <c r="AV63" s="219">
        <v>1</v>
      </c>
      <c r="AW63" s="219">
        <f t="shared" si="45"/>
        <v>234.54670644818566</v>
      </c>
      <c r="AX63" s="219">
        <v>1</v>
      </c>
      <c r="AY63" s="219">
        <f t="shared" si="46"/>
        <v>8.2650026343647234</v>
      </c>
      <c r="AZ63" s="219">
        <f t="shared" si="47"/>
        <v>8.3970278614424778</v>
      </c>
      <c r="BA63" s="219">
        <f>main!R70</f>
        <v>39.39</v>
      </c>
      <c r="BB63" s="219">
        <v>1</v>
      </c>
      <c r="BC63" s="219">
        <f>main!S70</f>
        <v>8.51</v>
      </c>
      <c r="BD63" s="219">
        <v>1</v>
      </c>
    </row>
    <row r="64" spans="1:56">
      <c r="A64" s="216">
        <f>main!A71</f>
        <v>2021</v>
      </c>
      <c r="B64" s="216" t="str">
        <f>main!B71</f>
        <v>47_3800</v>
      </c>
      <c r="C64" s="216">
        <v>17</v>
      </c>
      <c r="D64" s="216" t="str">
        <f>main!$B$54</f>
        <v>McLane-PARFLUX-Mark78H-21 ; frame# 10705, controller# 11649-01 and Motor # 11649-01 Cup set Lx21</v>
      </c>
      <c r="E64" s="216">
        <v>3800</v>
      </c>
      <c r="F64" s="216">
        <v>1</v>
      </c>
      <c r="G64" s="217">
        <f>main!E71</f>
        <v>1244.3</v>
      </c>
      <c r="H64" s="218">
        <f>main!I71</f>
        <v>146.38823529411764</v>
      </c>
      <c r="I64" s="218">
        <f>main!J71</f>
        <v>53.468302941176468</v>
      </c>
      <c r="J64" s="219">
        <v>1</v>
      </c>
      <c r="K64" s="219">
        <f>main!AF71</f>
        <v>50.274385895742</v>
      </c>
      <c r="L64" s="219">
        <f>main!AG71</f>
        <v>6.0327113199415843</v>
      </c>
      <c r="M64" s="219">
        <v>1</v>
      </c>
      <c r="N64" s="219">
        <f>main!M71</f>
        <v>12.215860366821289</v>
      </c>
      <c r="O64" s="219">
        <v>1</v>
      </c>
      <c r="P64" s="219">
        <f>main!O71</f>
        <v>0.86576175689697266</v>
      </c>
      <c r="Q64" s="219">
        <v>1</v>
      </c>
      <c r="R64" s="219">
        <f>main!AH71</f>
        <v>6.1831490468797048</v>
      </c>
      <c r="S64" s="219">
        <v>1</v>
      </c>
      <c r="T64" s="219">
        <f>main!AB71</f>
        <v>12.183173386141295</v>
      </c>
      <c r="U64" s="219">
        <v>1</v>
      </c>
      <c r="V64" s="219">
        <f>main!AC71</f>
        <v>26.062188991571038</v>
      </c>
      <c r="W64" s="219">
        <f t="shared" si="30"/>
        <v>26.88086095255143</v>
      </c>
      <c r="X64" s="219">
        <f t="shared" si="0"/>
        <v>3.2255883641130119</v>
      </c>
      <c r="Y64" s="219">
        <f t="shared" si="31"/>
        <v>6.5316132278031178</v>
      </c>
      <c r="Z64" s="219">
        <f t="shared" si="32"/>
        <v>0.46290811892652511</v>
      </c>
      <c r="AA64" s="219">
        <f t="shared" si="33"/>
        <v>3.306024863690106</v>
      </c>
      <c r="AB64" s="219">
        <f t="shared" si="34"/>
        <v>13.935010163115148</v>
      </c>
      <c r="AC64" s="220">
        <f>main!T71</f>
        <v>44587</v>
      </c>
      <c r="AD64" s="220">
        <f>main!U71</f>
        <v>44604</v>
      </c>
      <c r="AE64" s="220">
        <f>main!V71</f>
        <v>44595.5</v>
      </c>
      <c r="AF64" s="217">
        <f>main!H71</f>
        <v>17</v>
      </c>
      <c r="AG64" s="218">
        <f t="shared" si="35"/>
        <v>6.5141360539508151</v>
      </c>
      <c r="AH64" s="218">
        <f t="shared" si="36"/>
        <v>0.54384789573714554</v>
      </c>
      <c r="AI64" s="218">
        <f t="shared" si="37"/>
        <v>3.3041264734227346E-2</v>
      </c>
      <c r="AJ64" s="218">
        <f t="shared" si="38"/>
        <v>0.27527267807577904</v>
      </c>
      <c r="AK64" s="218">
        <f t="shared" si="39"/>
        <v>0.26857521766136649</v>
      </c>
      <c r="AL64" s="218">
        <f t="shared" si="40"/>
        <v>0.23190231591138538</v>
      </c>
      <c r="AM64" s="219">
        <f>depths!$B$4</f>
        <v>3962.9</v>
      </c>
      <c r="AO64" s="219">
        <f t="shared" si="41"/>
        <v>543.84789573714556</v>
      </c>
      <c r="AP64" s="219">
        <v>1</v>
      </c>
      <c r="AQ64" s="219">
        <f t="shared" si="42"/>
        <v>33.041264734227347</v>
      </c>
      <c r="AR64" s="219">
        <v>1</v>
      </c>
      <c r="AS64" s="219">
        <f t="shared" si="43"/>
        <v>275.27267807577903</v>
      </c>
      <c r="AT64" s="219">
        <v>1</v>
      </c>
      <c r="AU64" s="219">
        <f t="shared" si="44"/>
        <v>268.57521766136648</v>
      </c>
      <c r="AV64" s="219">
        <v>1</v>
      </c>
      <c r="AW64" s="219">
        <f t="shared" si="45"/>
        <v>231.90231591138539</v>
      </c>
      <c r="AX64" s="219">
        <v>1</v>
      </c>
      <c r="AY64" s="219">
        <f t="shared" si="46"/>
        <v>8.3311786122588973</v>
      </c>
      <c r="AZ64" s="219">
        <f t="shared" si="47"/>
        <v>8.128478731722101</v>
      </c>
      <c r="BA64" s="219">
        <f>main!R71</f>
        <v>37.54</v>
      </c>
      <c r="BB64" s="219">
        <v>1</v>
      </c>
      <c r="BC64" s="219">
        <f>main!S71</f>
        <v>8.44</v>
      </c>
      <c r="BD64" s="219">
        <v>1</v>
      </c>
    </row>
    <row r="65" spans="1:56">
      <c r="A65" s="216">
        <f>main!A72</f>
        <v>2021</v>
      </c>
      <c r="B65" s="216" t="str">
        <f>main!B72</f>
        <v>47_3800</v>
      </c>
      <c r="C65" s="216">
        <v>18</v>
      </c>
      <c r="D65" s="216" t="str">
        <f>main!$B$54</f>
        <v>McLane-PARFLUX-Mark78H-21 ; frame# 10705, controller# 11649-01 and Motor # 11649-01 Cup set Lx21</v>
      </c>
      <c r="E65" s="216">
        <v>3800</v>
      </c>
      <c r="F65" s="216">
        <v>1</v>
      </c>
      <c r="G65" s="217">
        <f>main!E72</f>
        <v>826.4</v>
      </c>
      <c r="H65" s="218">
        <f>main!I72</f>
        <v>97.223529411764702</v>
      </c>
      <c r="I65" s="218">
        <f>main!J72</f>
        <v>35.510894117647062</v>
      </c>
      <c r="J65" s="219">
        <v>1</v>
      </c>
      <c r="K65" s="219">
        <f>main!AF72</f>
        <v>55.710872875184357</v>
      </c>
      <c r="L65" s="219">
        <f>main!AG72</f>
        <v>6.6850665095128745</v>
      </c>
      <c r="M65" s="219">
        <v>1</v>
      </c>
      <c r="N65" s="219">
        <f>main!M72</f>
        <v>13.20694637298584</v>
      </c>
      <c r="O65" s="219">
        <v>1</v>
      </c>
      <c r="P65" s="219">
        <f>main!O72</f>
        <v>0.96769630908966064</v>
      </c>
      <c r="Q65" s="219">
        <v>1</v>
      </c>
      <c r="R65" s="219">
        <f>main!AH72</f>
        <v>6.5218798634729653</v>
      </c>
      <c r="S65" s="219">
        <v>1</v>
      </c>
      <c r="T65" s="219">
        <f>main!AB72</f>
        <v>9.8220868190892645</v>
      </c>
      <c r="U65" s="219">
        <v>1</v>
      </c>
      <c r="V65" s="219">
        <f>main!AC72</f>
        <v>21.011363366289569</v>
      </c>
      <c r="W65" s="219">
        <f t="shared" si="30"/>
        <v>19.783429078723675</v>
      </c>
      <c r="X65" s="219">
        <f t="shared" si="0"/>
        <v>2.3739268898874011</v>
      </c>
      <c r="Y65" s="219">
        <f t="shared" si="31"/>
        <v>4.6899047426854308</v>
      </c>
      <c r="Z65" s="219">
        <f t="shared" si="32"/>
        <v>0.34363761170120805</v>
      </c>
      <c r="AA65" s="219">
        <f t="shared" si="33"/>
        <v>2.3159778527980293</v>
      </c>
      <c r="AB65" s="219">
        <f t="shared" si="34"/>
        <v>7.461322997677172</v>
      </c>
      <c r="AC65" s="220">
        <f>main!T72</f>
        <v>44604</v>
      </c>
      <c r="AD65" s="220">
        <f>main!U72</f>
        <v>44621</v>
      </c>
      <c r="AE65" s="220">
        <f>main!V72</f>
        <v>44612.5</v>
      </c>
      <c r="AF65" s="217">
        <f>main!H72</f>
        <v>17</v>
      </c>
      <c r="AG65" s="218">
        <f t="shared" si="35"/>
        <v>3.4879108504701573</v>
      </c>
      <c r="AH65" s="218">
        <f t="shared" si="36"/>
        <v>0.39049997857497343</v>
      </c>
      <c r="AI65" s="218">
        <f t="shared" si="37"/>
        <v>2.452802367603198E-2</v>
      </c>
      <c r="AJ65" s="218">
        <f t="shared" si="38"/>
        <v>0.19283745651940293</v>
      </c>
      <c r="AK65" s="218">
        <f t="shared" si="39"/>
        <v>0.19766252205557044</v>
      </c>
      <c r="AL65" s="218">
        <f t="shared" si="40"/>
        <v>0.1241691296002192</v>
      </c>
      <c r="AM65" s="219">
        <f>depths!$B$4</f>
        <v>3962.9</v>
      </c>
      <c r="AO65" s="219">
        <f t="shared" si="41"/>
        <v>390.49997857497345</v>
      </c>
      <c r="AP65" s="219">
        <v>1</v>
      </c>
      <c r="AQ65" s="219">
        <f t="shared" si="42"/>
        <v>24.528023676031982</v>
      </c>
      <c r="AR65" s="219">
        <v>1</v>
      </c>
      <c r="AS65" s="219">
        <f t="shared" si="43"/>
        <v>192.83745651940293</v>
      </c>
      <c r="AT65" s="219">
        <v>1</v>
      </c>
      <c r="AU65" s="219">
        <f t="shared" si="44"/>
        <v>197.66252205557043</v>
      </c>
      <c r="AV65" s="219">
        <v>1</v>
      </c>
      <c r="AW65" s="219">
        <f t="shared" si="45"/>
        <v>124.16912960021919</v>
      </c>
      <c r="AX65" s="219">
        <v>1</v>
      </c>
      <c r="AY65" s="219">
        <f t="shared" si="46"/>
        <v>7.8619239391813567</v>
      </c>
      <c r="AZ65" s="219">
        <f t="shared" si="47"/>
        <v>8.0586403807462101</v>
      </c>
      <c r="BA65" s="219">
        <f>main!R72</f>
        <v>38.770000000000003</v>
      </c>
      <c r="BB65" s="219">
        <v>1</v>
      </c>
      <c r="BC65" s="219">
        <f>main!S72</f>
        <v>8.49</v>
      </c>
      <c r="BD65" s="219">
        <v>1</v>
      </c>
    </row>
    <row r="66" spans="1:56">
      <c r="A66" s="216">
        <f>main!A73</f>
        <v>2021</v>
      </c>
      <c r="B66" s="216" t="str">
        <f>main!B73</f>
        <v>47_3800</v>
      </c>
      <c r="C66" s="216">
        <v>19</v>
      </c>
      <c r="D66" s="216" t="str">
        <f>main!$B$54</f>
        <v>McLane-PARFLUX-Mark78H-21 ; frame# 10705, controller# 11649-01 and Motor # 11649-01 Cup set Lx21</v>
      </c>
      <c r="E66" s="216">
        <v>3800</v>
      </c>
      <c r="F66" s="216">
        <v>1</v>
      </c>
      <c r="G66" s="217">
        <f>main!E73</f>
        <v>534.67142857142858</v>
      </c>
      <c r="H66" s="218">
        <f>main!I73</f>
        <v>62.902521008403362</v>
      </c>
      <c r="I66" s="218">
        <f>main!J73</f>
        <v>22.975145798319328</v>
      </c>
      <c r="J66" s="219">
        <v>1</v>
      </c>
      <c r="K66" s="219">
        <f>main!AF73</f>
        <v>64.347281548320183</v>
      </c>
      <c r="L66" s="219">
        <f>main!AG73</f>
        <v>7.7213986185537307</v>
      </c>
      <c r="M66" s="219">
        <v>1</v>
      </c>
      <c r="N66" s="219">
        <f>main!M73</f>
        <v>12.760601043701172</v>
      </c>
      <c r="O66" s="219">
        <v>1</v>
      </c>
      <c r="P66" s="219">
        <f>main!O73</f>
        <v>0.75886780023574829</v>
      </c>
      <c r="Q66" s="219">
        <v>1</v>
      </c>
      <c r="R66" s="219">
        <f>main!AH73</f>
        <v>5.0392024251474412</v>
      </c>
      <c r="S66" s="219">
        <v>1</v>
      </c>
      <c r="T66" s="219">
        <f>main!AB73</f>
        <v>7.5368776085141906</v>
      </c>
      <c r="U66" s="219">
        <v>1</v>
      </c>
      <c r="V66" s="219">
        <f>main!AC73</f>
        <v>16.122854236227045</v>
      </c>
      <c r="W66" s="219">
        <f t="shared" si="30"/>
        <v>14.783881752981593</v>
      </c>
      <c r="X66" s="219">
        <f t="shared" si="0"/>
        <v>1.7740025902821341</v>
      </c>
      <c r="Y66" s="219">
        <f t="shared" si="31"/>
        <v>2.9317666945322021</v>
      </c>
      <c r="Z66" s="219">
        <f t="shared" si="32"/>
        <v>0.17435098352066183</v>
      </c>
      <c r="AA66" s="219">
        <f t="shared" si="33"/>
        <v>1.1577641042500679</v>
      </c>
      <c r="AB66" s="219">
        <f t="shared" si="34"/>
        <v>3.704249267623668</v>
      </c>
      <c r="AC66" s="220">
        <f>main!T73</f>
        <v>44621</v>
      </c>
      <c r="AD66" s="220">
        <f>main!U73</f>
        <v>44638</v>
      </c>
      <c r="AE66" s="220">
        <f>main!V73</f>
        <v>44629.5</v>
      </c>
      <c r="AF66" s="217">
        <f>main!H73</f>
        <v>17</v>
      </c>
      <c r="AG66" s="218">
        <f t="shared" si="35"/>
        <v>1.7316086191970184</v>
      </c>
      <c r="AH66" s="218">
        <f t="shared" si="36"/>
        <v>0.24411046582283116</v>
      </c>
      <c r="AI66" s="218">
        <f t="shared" si="37"/>
        <v>1.2444752571067939E-2</v>
      </c>
      <c r="AJ66" s="218">
        <f t="shared" si="38"/>
        <v>9.6400008680272098E-2</v>
      </c>
      <c r="AK66" s="218">
        <f t="shared" si="39"/>
        <v>0.14771045714255904</v>
      </c>
      <c r="AL66" s="218">
        <f t="shared" si="40"/>
        <v>6.1645020263332802E-2</v>
      </c>
      <c r="AM66" s="219">
        <f>depths!$B$4</f>
        <v>3962.9</v>
      </c>
      <c r="AO66" s="219">
        <f t="shared" si="41"/>
        <v>244.11046582283117</v>
      </c>
      <c r="AP66" s="219">
        <v>1</v>
      </c>
      <c r="AQ66" s="219">
        <f t="shared" si="42"/>
        <v>12.444752571067939</v>
      </c>
      <c r="AR66" s="219">
        <v>1</v>
      </c>
      <c r="AS66" s="219">
        <f t="shared" si="43"/>
        <v>96.400008680272094</v>
      </c>
      <c r="AT66" s="219">
        <v>1</v>
      </c>
      <c r="AU66" s="219">
        <f t="shared" si="44"/>
        <v>147.71045714255905</v>
      </c>
      <c r="AV66" s="219">
        <v>1</v>
      </c>
      <c r="AW66" s="219">
        <f t="shared" si="45"/>
        <v>61.645020263332803</v>
      </c>
      <c r="AX66" s="219">
        <v>1</v>
      </c>
      <c r="AY66" s="219">
        <f t="shared" si="46"/>
        <v>7.7462374707542772</v>
      </c>
      <c r="AZ66" s="219">
        <f t="shared" si="47"/>
        <v>11.86929642024079</v>
      </c>
      <c r="BA66" s="219">
        <f>main!R73</f>
        <v>37.58</v>
      </c>
      <c r="BB66" s="219">
        <v>1</v>
      </c>
      <c r="BC66" s="219">
        <f>main!S73</f>
        <v>8.58</v>
      </c>
      <c r="BD66" s="219">
        <v>1</v>
      </c>
    </row>
    <row r="67" spans="1:56">
      <c r="A67" s="216">
        <f>main!A74</f>
        <v>2021</v>
      </c>
      <c r="B67" s="216" t="str">
        <f>main!B74</f>
        <v>47_3800</v>
      </c>
      <c r="C67" s="216">
        <v>20</v>
      </c>
      <c r="D67" s="216" t="str">
        <f>main!$B$54</f>
        <v>McLane-PARFLUX-Mark78H-21 ; frame# 10705, controller# 11649-01 and Motor # 11649-01 Cup set Lx21</v>
      </c>
      <c r="E67" s="216">
        <v>3800</v>
      </c>
      <c r="F67" s="216">
        <v>1</v>
      </c>
      <c r="G67" s="217">
        <f>main!E74</f>
        <v>307.75714285714287</v>
      </c>
      <c r="H67" s="218">
        <f>main!I74</f>
        <v>36.206722689075633</v>
      </c>
      <c r="I67" s="218">
        <f>main!J74</f>
        <v>13.224505462184874</v>
      </c>
      <c r="J67" s="219">
        <v>1</v>
      </c>
      <c r="K67" s="219">
        <f>main!AF74</f>
        <v>65.307426314780514</v>
      </c>
      <c r="L67" s="219">
        <f>main!AG74</f>
        <v>7.8366118846773549</v>
      </c>
      <c r="M67" s="219">
        <v>1</v>
      </c>
      <c r="N67" s="219">
        <f>main!M74</f>
        <v>13.243734359741211</v>
      </c>
      <c r="O67" s="219">
        <v>1</v>
      </c>
      <c r="P67" s="219">
        <f>main!O74</f>
        <v>0.85906893014907837</v>
      </c>
      <c r="Q67" s="219">
        <v>1</v>
      </c>
      <c r="R67" s="219">
        <f>main!AH74</f>
        <v>5.407122475063856</v>
      </c>
      <c r="S67" s="219">
        <v>1</v>
      </c>
      <c r="T67" s="219">
        <f>main!AB74</f>
        <v>6.4887899999999998</v>
      </c>
      <c r="U67" s="219">
        <v>1</v>
      </c>
      <c r="V67" s="219">
        <f>main!AC74</f>
        <v>13.880790000000001</v>
      </c>
      <c r="W67" s="219">
        <f t="shared" si="30"/>
        <v>8.6365841602105107</v>
      </c>
      <c r="X67" s="219">
        <f t="shared" si="0"/>
        <v>1.0363531667393859</v>
      </c>
      <c r="Y67" s="219">
        <f t="shared" si="31"/>
        <v>1.7514183738012314</v>
      </c>
      <c r="Z67" s="219">
        <f t="shared" si="32"/>
        <v>0.11360761759149804</v>
      </c>
      <c r="AA67" s="219">
        <f t="shared" si="33"/>
        <v>0.71506520706184562</v>
      </c>
      <c r="AB67" s="219">
        <f t="shared" si="34"/>
        <v>1.8356658317444119</v>
      </c>
      <c r="AC67" s="220">
        <f>main!T74</f>
        <v>44638</v>
      </c>
      <c r="AD67" s="220">
        <f>main!U74</f>
        <v>44655</v>
      </c>
      <c r="AE67" s="220">
        <f>main!V74</f>
        <v>44646.5</v>
      </c>
      <c r="AF67" s="217">
        <f>main!H74</f>
        <v>17</v>
      </c>
      <c r="AG67" s="218">
        <f t="shared" si="35"/>
        <v>0.85811038797970585</v>
      </c>
      <c r="AH67" s="218">
        <f t="shared" si="36"/>
        <v>0.14583000614498182</v>
      </c>
      <c r="AI67" s="218">
        <f t="shared" si="37"/>
        <v>8.1090376582082825E-3</v>
      </c>
      <c r="AJ67" s="218">
        <f t="shared" si="38"/>
        <v>5.9539151295740687E-2</v>
      </c>
      <c r="AK67" s="218">
        <f t="shared" si="39"/>
        <v>8.6290854849241122E-2</v>
      </c>
      <c r="AL67" s="218">
        <f t="shared" si="40"/>
        <v>3.0548607617647057E-2</v>
      </c>
      <c r="AM67" s="219">
        <f>depths!$B$4</f>
        <v>3962.9</v>
      </c>
      <c r="AO67" s="219">
        <f t="shared" si="41"/>
        <v>145.83000614498181</v>
      </c>
      <c r="AP67" s="219">
        <v>1</v>
      </c>
      <c r="AQ67" s="219">
        <f t="shared" si="42"/>
        <v>8.1090376582082833</v>
      </c>
      <c r="AR67" s="219">
        <v>1</v>
      </c>
      <c r="AS67" s="219">
        <f t="shared" si="43"/>
        <v>59.539151295740687</v>
      </c>
      <c r="AT67" s="219">
        <v>1</v>
      </c>
      <c r="AU67" s="219">
        <f t="shared" si="44"/>
        <v>86.290854849241128</v>
      </c>
      <c r="AV67" s="219">
        <v>1</v>
      </c>
      <c r="AW67" s="219">
        <f t="shared" si="45"/>
        <v>30.548607617647058</v>
      </c>
      <c r="AX67" s="219">
        <v>1</v>
      </c>
      <c r="AY67" s="219">
        <f t="shared" si="46"/>
        <v>7.3423202364182938</v>
      </c>
      <c r="AZ67" s="219">
        <f t="shared" si="47"/>
        <v>10.641318795935566</v>
      </c>
      <c r="BA67" s="219">
        <f>main!R74</f>
        <v>37.700000000000003</v>
      </c>
      <c r="BB67" s="219">
        <v>1</v>
      </c>
      <c r="BC67" s="219">
        <f>main!S74</f>
        <v>8.6</v>
      </c>
      <c r="BD67" s="219">
        <v>1</v>
      </c>
    </row>
    <row r="68" spans="1:56">
      <c r="A68" s="216">
        <f>main!A75</f>
        <v>2021</v>
      </c>
      <c r="B68" s="216" t="str">
        <f>main!B75</f>
        <v>47_3800</v>
      </c>
      <c r="C68" s="216">
        <v>21</v>
      </c>
      <c r="D68" s="216" t="str">
        <f>main!$B$54</f>
        <v>McLane-PARFLUX-Mark78H-21 ; frame# 10705, controller# 11649-01 and Motor # 11649-01 Cup set Lx21</v>
      </c>
      <c r="E68" s="216">
        <v>3800</v>
      </c>
      <c r="F68" s="216">
        <v>1</v>
      </c>
      <c r="G68" s="217">
        <f>main!E75</f>
        <v>388.42857142857144</v>
      </c>
      <c r="H68" s="218">
        <f>main!I75</f>
        <v>45.69747899159664</v>
      </c>
      <c r="I68" s="218">
        <f>main!J75</f>
        <v>16.691004201680673</v>
      </c>
      <c r="J68" s="219">
        <v>1</v>
      </c>
      <c r="K68" s="219">
        <f>main!AF75</f>
        <v>70.845809336024359</v>
      </c>
      <c r="L68" s="219">
        <f>main!AG75</f>
        <v>8.5011941635284192</v>
      </c>
      <c r="M68" s="219">
        <v>1</v>
      </c>
      <c r="N68" s="219">
        <f>main!M75</f>
        <v>12.574892044067383</v>
      </c>
      <c r="O68" s="219">
        <v>1</v>
      </c>
      <c r="P68" s="219">
        <f>main!O75</f>
        <v>0.58193188905715942</v>
      </c>
      <c r="Q68" s="219">
        <v>1</v>
      </c>
      <c r="R68" s="219">
        <f>main!AH75</f>
        <v>4.0736978805389636</v>
      </c>
      <c r="S68" s="219">
        <v>1</v>
      </c>
      <c r="T68" s="219">
        <f>main!AB75</f>
        <v>5.7058408597039261</v>
      </c>
      <c r="U68" s="219">
        <v>1</v>
      </c>
      <c r="V68" s="219">
        <f>main!AC75</f>
        <v>12.205908766807012</v>
      </c>
      <c r="W68" s="219">
        <f t="shared" si="30"/>
        <v>11.824877012990504</v>
      </c>
      <c r="X68" s="219">
        <f t="shared" si="0"/>
        <v>1.4189346750275607</v>
      </c>
      <c r="Y68" s="219">
        <f t="shared" si="31"/>
        <v>2.0988757594320955</v>
      </c>
      <c r="Z68" s="219">
        <f t="shared" si="32"/>
        <v>9.713027605345019E-2</v>
      </c>
      <c r="AA68" s="219">
        <f t="shared" si="33"/>
        <v>0.67994108440453493</v>
      </c>
      <c r="AB68" s="219">
        <f t="shared" si="34"/>
        <v>2.0372887451210677</v>
      </c>
      <c r="AC68" s="220">
        <f>main!T75</f>
        <v>44655</v>
      </c>
      <c r="AD68" s="220">
        <f>main!U75</f>
        <v>44672</v>
      </c>
      <c r="AE68" s="220">
        <f>main!V75</f>
        <v>44663.5</v>
      </c>
      <c r="AF68" s="217">
        <f>main!H75</f>
        <v>17</v>
      </c>
      <c r="AG68" s="218">
        <f t="shared" si="35"/>
        <v>0.95236213763439503</v>
      </c>
      <c r="AH68" s="218">
        <f t="shared" si="36"/>
        <v>0.17476067938651918</v>
      </c>
      <c r="AI68" s="218">
        <f t="shared" si="37"/>
        <v>6.9329247718379868E-3</v>
      </c>
      <c r="AJ68" s="218">
        <f t="shared" si="38"/>
        <v>5.6614578218529138E-2</v>
      </c>
      <c r="AK68" s="218">
        <f t="shared" si="39"/>
        <v>0.11814610116799007</v>
      </c>
      <c r="AL68" s="218">
        <f t="shared" si="40"/>
        <v>3.3903956483958525E-2</v>
      </c>
      <c r="AM68" s="219">
        <f>depths!$B$4</f>
        <v>3962.9</v>
      </c>
      <c r="AO68" s="219">
        <f t="shared" si="41"/>
        <v>174.76067938651917</v>
      </c>
      <c r="AP68" s="219">
        <v>1</v>
      </c>
      <c r="AQ68" s="219">
        <f t="shared" si="42"/>
        <v>6.9329247718379872</v>
      </c>
      <c r="AR68" s="219">
        <v>1</v>
      </c>
      <c r="AS68" s="219">
        <f t="shared" si="43"/>
        <v>56.61457821852914</v>
      </c>
      <c r="AT68" s="219">
        <v>1</v>
      </c>
      <c r="AU68" s="219">
        <f t="shared" si="44"/>
        <v>118.14610116799007</v>
      </c>
      <c r="AV68" s="219">
        <v>1</v>
      </c>
      <c r="AW68" s="219">
        <f t="shared" si="45"/>
        <v>33.903956483958524</v>
      </c>
      <c r="AX68" s="219">
        <v>1</v>
      </c>
      <c r="AY68" s="219">
        <f t="shared" si="46"/>
        <v>8.1660453678224538</v>
      </c>
      <c r="AZ68" s="219">
        <f t="shared" si="47"/>
        <v>17.04130724855224</v>
      </c>
      <c r="BA68" s="219">
        <f>main!R75</f>
        <v>36.96</v>
      </c>
      <c r="BB68" s="219">
        <v>1</v>
      </c>
      <c r="BC68" s="219">
        <f>main!S75</f>
        <v>8.57</v>
      </c>
      <c r="BD68" s="219">
        <v>1</v>
      </c>
    </row>
  </sheetData>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1626-2FB1-4B73-919E-DE5095299EC3}">
  <dimension ref="A1:AK76"/>
  <sheetViews>
    <sheetView workbookViewId="0">
      <selection activeCell="A29" sqref="A29:XFD29"/>
    </sheetView>
  </sheetViews>
  <sheetFormatPr defaultColWidth="9.1796875" defaultRowHeight="14.5"/>
  <cols>
    <col min="1" max="1" width="9.26953125" style="59" bestFit="1" customWidth="1"/>
    <col min="2" max="2" width="9.1796875" style="59"/>
    <col min="3" max="4" width="9.26953125" style="59" bestFit="1" customWidth="1"/>
    <col min="5" max="5" width="49.453125" style="59" customWidth="1"/>
    <col min="6" max="6" width="9.1796875" style="59"/>
    <col min="7" max="9" width="9.26953125" style="59" bestFit="1" customWidth="1"/>
    <col min="10" max="10" width="23.81640625" style="59" bestFit="1" customWidth="1"/>
    <col min="11" max="13" width="10.7265625" style="59" bestFit="1" customWidth="1"/>
    <col min="14" max="31" width="9.26953125" style="59" bestFit="1" customWidth="1"/>
    <col min="32" max="32" width="25.36328125" style="59" customWidth="1"/>
    <col min="33" max="33" width="21.453125" style="59" customWidth="1"/>
    <col min="34" max="34" width="9.26953125" style="59" bestFit="1" customWidth="1"/>
    <col min="35" max="35" width="13.54296875" style="59" customWidth="1"/>
    <col min="36" max="37" width="9.26953125" style="59" bestFit="1" customWidth="1"/>
    <col min="38" max="16384" width="9.1796875" style="59"/>
  </cols>
  <sheetData>
    <row r="1" spans="1:37" s="125" customFormat="1">
      <c r="A1" s="125" t="s">
        <v>2092</v>
      </c>
      <c r="B1" s="125" t="s">
        <v>2093</v>
      </c>
      <c r="C1" s="125" t="s">
        <v>2094</v>
      </c>
      <c r="D1" s="225" t="s">
        <v>2095</v>
      </c>
      <c r="E1" s="125" t="s">
        <v>109</v>
      </c>
      <c r="F1" s="226" t="s">
        <v>2096</v>
      </c>
      <c r="G1" s="226" t="s">
        <v>2097</v>
      </c>
      <c r="H1" s="227" t="s">
        <v>2098</v>
      </c>
      <c r="I1" s="227" t="s">
        <v>2099</v>
      </c>
      <c r="J1" s="228" t="s">
        <v>2100</v>
      </c>
      <c r="K1" s="226" t="s">
        <v>2101</v>
      </c>
      <c r="L1" s="226" t="s">
        <v>2102</v>
      </c>
      <c r="M1" s="229" t="s">
        <v>2103</v>
      </c>
      <c r="N1" s="230" t="s">
        <v>2104</v>
      </c>
      <c r="O1" s="230" t="s">
        <v>2105</v>
      </c>
      <c r="P1" s="231" t="s">
        <v>2106</v>
      </c>
      <c r="Q1" s="231" t="s">
        <v>2107</v>
      </c>
      <c r="R1" s="231" t="s">
        <v>2108</v>
      </c>
      <c r="S1" s="231" t="s">
        <v>2109</v>
      </c>
      <c r="T1" s="231" t="s">
        <v>2110</v>
      </c>
      <c r="U1" s="231" t="s">
        <v>2111</v>
      </c>
      <c r="V1" s="231" t="s">
        <v>2112</v>
      </c>
      <c r="W1" s="232" t="s">
        <v>2113</v>
      </c>
      <c r="X1" s="232" t="s">
        <v>2114</v>
      </c>
      <c r="Y1" s="225" t="s">
        <v>2115</v>
      </c>
      <c r="Z1" s="232" t="s">
        <v>2116</v>
      </c>
      <c r="AA1" s="232" t="s">
        <v>2117</v>
      </c>
      <c r="AB1" s="232" t="s">
        <v>2118</v>
      </c>
      <c r="AC1" s="232" t="s">
        <v>2119</v>
      </c>
      <c r="AD1" s="232" t="s">
        <v>2120</v>
      </c>
      <c r="AE1" s="225" t="s">
        <v>2121</v>
      </c>
      <c r="AF1" s="232" t="s">
        <v>2122</v>
      </c>
      <c r="AG1" s="232" t="s">
        <v>2123</v>
      </c>
      <c r="AH1" s="125" t="s">
        <v>2124</v>
      </c>
      <c r="AI1" s="3" t="s">
        <v>2125</v>
      </c>
      <c r="AJ1" s="3" t="s">
        <v>2126</v>
      </c>
      <c r="AK1" s="125" t="s">
        <v>2127</v>
      </c>
    </row>
    <row r="2" spans="1:37" s="233" customFormat="1" ht="15.5">
      <c r="D2" s="234"/>
      <c r="F2" s="235" t="s">
        <v>2128</v>
      </c>
      <c r="G2" s="235"/>
      <c r="H2" s="236"/>
      <c r="I2" s="236"/>
      <c r="J2" s="235"/>
      <c r="K2" s="235"/>
      <c r="L2" s="235"/>
      <c r="M2" s="234"/>
      <c r="N2" s="237"/>
      <c r="O2" s="237"/>
      <c r="P2" s="238"/>
      <c r="Q2" s="238"/>
      <c r="R2" s="238"/>
      <c r="S2" s="238"/>
      <c r="T2" s="238"/>
      <c r="U2" s="238"/>
      <c r="V2" s="238"/>
      <c r="W2" s="239"/>
      <c r="X2" s="239"/>
      <c r="Y2" s="234"/>
      <c r="AC2" s="240"/>
      <c r="AD2" s="240"/>
      <c r="AE2" s="234"/>
      <c r="AF2" s="239"/>
      <c r="AG2" s="239"/>
      <c r="AI2" s="241"/>
      <c r="AJ2" s="241"/>
    </row>
    <row r="3" spans="1:37" s="233" customFormat="1" ht="15.5">
      <c r="A3" s="233" t="s">
        <v>111</v>
      </c>
      <c r="D3" s="242" t="s">
        <v>2129</v>
      </c>
      <c r="F3" s="243" t="s">
        <v>2130</v>
      </c>
      <c r="G3" s="243"/>
      <c r="H3" s="236" t="s">
        <v>2131</v>
      </c>
      <c r="I3" s="236"/>
      <c r="J3" s="235"/>
      <c r="K3" s="235"/>
      <c r="L3" s="235"/>
      <c r="M3" s="234" t="s">
        <v>2132</v>
      </c>
      <c r="N3" s="237" t="s">
        <v>2133</v>
      </c>
      <c r="O3" s="237"/>
      <c r="P3" s="239"/>
      <c r="Q3" s="238" t="s">
        <v>2134</v>
      </c>
      <c r="R3" s="238"/>
      <c r="S3" s="239"/>
      <c r="T3" s="244" t="s">
        <v>2135</v>
      </c>
      <c r="U3" s="244"/>
      <c r="V3" s="239"/>
      <c r="W3" s="239" t="s">
        <v>2136</v>
      </c>
      <c r="X3" s="239"/>
      <c r="Y3" s="245"/>
      <c r="Z3" s="246" t="s">
        <v>2137</v>
      </c>
      <c r="AA3" s="246"/>
      <c r="AB3" s="239"/>
      <c r="AC3" s="239" t="s">
        <v>2138</v>
      </c>
      <c r="AD3" s="239"/>
      <c r="AE3" s="245"/>
      <c r="AF3" s="239" t="s">
        <v>2139</v>
      </c>
      <c r="AG3" s="239"/>
      <c r="AH3" s="239"/>
      <c r="AI3" s="239" t="s">
        <v>2140</v>
      </c>
      <c r="AJ3" s="239"/>
      <c r="AK3" s="239"/>
    </row>
    <row r="4" spans="1:37" s="233" customFormat="1">
      <c r="A4" s="243" t="s">
        <v>2163</v>
      </c>
      <c r="C4" s="233" t="s">
        <v>2090</v>
      </c>
      <c r="D4" s="172" t="s">
        <v>2087</v>
      </c>
      <c r="F4" s="243" t="s">
        <v>2141</v>
      </c>
      <c r="G4" s="243"/>
      <c r="H4" s="236">
        <v>1</v>
      </c>
      <c r="I4" s="236"/>
      <c r="J4" s="235" t="s">
        <v>2142</v>
      </c>
      <c r="K4" s="235" t="s">
        <v>2142</v>
      </c>
      <c r="L4" s="235" t="s">
        <v>2142</v>
      </c>
      <c r="M4" s="234" t="s">
        <v>2143</v>
      </c>
      <c r="N4" s="237" t="s">
        <v>2144</v>
      </c>
      <c r="O4" s="237" t="s">
        <v>2144</v>
      </c>
      <c r="P4" s="239"/>
      <c r="Q4" s="247" t="s">
        <v>2145</v>
      </c>
      <c r="R4" s="247" t="s">
        <v>2145</v>
      </c>
      <c r="S4" s="239"/>
      <c r="T4" s="247" t="s">
        <v>2165</v>
      </c>
      <c r="U4" s="247" t="s">
        <v>2145</v>
      </c>
      <c r="V4" s="239"/>
      <c r="W4" s="237" t="s">
        <v>2144</v>
      </c>
      <c r="X4" s="237" t="s">
        <v>2144</v>
      </c>
      <c r="Y4" s="245"/>
      <c r="Z4" s="237" t="s">
        <v>2144</v>
      </c>
      <c r="AA4" s="237" t="s">
        <v>2144</v>
      </c>
      <c r="AB4" s="239"/>
      <c r="AC4" s="237" t="s">
        <v>2144</v>
      </c>
      <c r="AD4" s="237" t="s">
        <v>2144</v>
      </c>
      <c r="AE4" s="245"/>
      <c r="AF4" s="237" t="s">
        <v>2144</v>
      </c>
      <c r="AG4" s="237" t="s">
        <v>2144</v>
      </c>
      <c r="AH4" s="239"/>
      <c r="AI4" s="237" t="s">
        <v>2144</v>
      </c>
      <c r="AJ4" s="237" t="s">
        <v>2144</v>
      </c>
      <c r="AK4" s="239"/>
    </row>
    <row r="5" spans="1:37" s="244" customFormat="1" ht="15.5">
      <c r="F5" s="248" t="s">
        <v>2146</v>
      </c>
      <c r="G5" s="248"/>
      <c r="I5" s="249"/>
      <c r="J5" s="250"/>
      <c r="K5" s="250"/>
      <c r="L5" s="250"/>
      <c r="N5" s="251">
        <v>5.9999999999999995E-4</v>
      </c>
      <c r="O5" s="251"/>
      <c r="P5" s="239"/>
      <c r="Q5" s="252">
        <v>2.1999999999999999E-2</v>
      </c>
      <c r="R5" s="252"/>
      <c r="S5" s="253"/>
      <c r="T5" s="252">
        <v>2.9000000000000001E-2</v>
      </c>
      <c r="U5" s="252"/>
      <c r="V5" s="239"/>
      <c r="W5" s="254">
        <v>2.1000000000000001E-2</v>
      </c>
      <c r="X5" s="254"/>
      <c r="Y5" s="254"/>
      <c r="Z5" s="254">
        <v>3.7999999999999999E-2</v>
      </c>
      <c r="AA5" s="254"/>
      <c r="AB5" s="254"/>
      <c r="AC5" s="254">
        <v>2.8000000000000001E-2</v>
      </c>
      <c r="AD5" s="254"/>
      <c r="AE5" s="239"/>
      <c r="AF5" s="254">
        <v>1.9E-2</v>
      </c>
      <c r="AG5" s="254"/>
      <c r="AH5" s="245"/>
      <c r="AI5" s="254">
        <v>4.9000000000000002E-2</v>
      </c>
      <c r="AJ5" s="254"/>
    </row>
    <row r="6" spans="1:37" s="233" customFormat="1" ht="15.5">
      <c r="D6" s="244">
        <v>3</v>
      </c>
      <c r="F6" s="233" t="s">
        <v>2147</v>
      </c>
    </row>
    <row r="7" spans="1:37" s="233" customFormat="1">
      <c r="C7" s="233" t="s">
        <v>2075</v>
      </c>
      <c r="D7" s="59" t="s">
        <v>2085</v>
      </c>
      <c r="F7" s="243" t="s">
        <v>2148</v>
      </c>
      <c r="G7" s="243"/>
      <c r="I7" s="236"/>
      <c r="J7" s="235"/>
      <c r="K7" s="235"/>
      <c r="L7" s="235"/>
      <c r="M7" s="234"/>
      <c r="N7" s="237" t="s">
        <v>246</v>
      </c>
      <c r="O7" s="237"/>
      <c r="P7" s="239"/>
      <c r="Q7" s="239" t="s">
        <v>2149</v>
      </c>
      <c r="R7" s="239"/>
      <c r="S7" s="239"/>
      <c r="T7" s="239" t="s">
        <v>2149</v>
      </c>
      <c r="U7" s="239"/>
      <c r="V7" s="239"/>
      <c r="W7" s="239" t="s">
        <v>246</v>
      </c>
      <c r="X7" s="239"/>
      <c r="Y7" s="245"/>
      <c r="Z7" s="239" t="s">
        <v>246</v>
      </c>
      <c r="AA7" s="239"/>
      <c r="AB7" s="239"/>
      <c r="AC7" s="239" t="s">
        <v>246</v>
      </c>
      <c r="AD7" s="239"/>
      <c r="AE7" s="245"/>
      <c r="AF7" s="239" t="s">
        <v>246</v>
      </c>
      <c r="AG7" s="239"/>
      <c r="AH7" s="239"/>
      <c r="AI7" s="239" t="s">
        <v>246</v>
      </c>
      <c r="AJ7" s="239"/>
      <c r="AK7" s="239"/>
    </row>
    <row r="8" spans="1:37" s="233" customFormat="1">
      <c r="D8" s="59" t="s">
        <v>2150</v>
      </c>
      <c r="F8" s="243" t="s">
        <v>2151</v>
      </c>
      <c r="G8" s="243"/>
      <c r="H8" s="236"/>
      <c r="I8" s="236"/>
      <c r="J8" s="235"/>
      <c r="K8" s="235"/>
      <c r="L8" s="235"/>
      <c r="M8" s="234"/>
      <c r="N8" s="237" t="s">
        <v>2152</v>
      </c>
      <c r="O8" s="237"/>
      <c r="P8" s="239"/>
      <c r="Q8" s="59" t="s">
        <v>2153</v>
      </c>
      <c r="R8" s="239"/>
      <c r="S8" s="239"/>
      <c r="T8" s="59" t="s">
        <v>2154</v>
      </c>
      <c r="U8" s="59"/>
      <c r="V8" s="239"/>
      <c r="W8" s="239" t="s">
        <v>2155</v>
      </c>
      <c r="X8" s="239"/>
      <c r="Y8" s="245"/>
      <c r="Z8" s="239" t="s">
        <v>2156</v>
      </c>
      <c r="AA8" s="239"/>
      <c r="AB8" s="239"/>
      <c r="AC8" s="239" t="s">
        <v>2157</v>
      </c>
      <c r="AD8" s="239"/>
      <c r="AE8" s="245"/>
      <c r="AF8" s="239" t="s">
        <v>2158</v>
      </c>
      <c r="AG8" s="239"/>
      <c r="AH8" s="239"/>
      <c r="AI8" s="239" t="s">
        <v>2159</v>
      </c>
      <c r="AJ8" s="239"/>
      <c r="AK8" s="239"/>
    </row>
    <row r="9" spans="1:37" s="233" customFormat="1">
      <c r="F9" s="233" t="s">
        <v>2160</v>
      </c>
      <c r="G9" s="233">
        <v>1000</v>
      </c>
      <c r="H9" s="233" t="s">
        <v>2164</v>
      </c>
      <c r="I9" s="255"/>
      <c r="J9" s="235"/>
      <c r="K9" s="235"/>
      <c r="L9" s="235"/>
      <c r="M9" s="234"/>
      <c r="N9" s="237"/>
      <c r="O9" s="237"/>
      <c r="P9" s="239"/>
      <c r="Q9" s="239"/>
      <c r="R9" s="239"/>
      <c r="S9" s="239"/>
      <c r="T9" s="239"/>
      <c r="U9" s="239"/>
      <c r="V9" s="239"/>
      <c r="W9" s="239"/>
      <c r="X9" s="239"/>
      <c r="Y9" s="245"/>
      <c r="Z9" s="239"/>
      <c r="AA9" s="239"/>
      <c r="AB9" s="239"/>
      <c r="AC9" s="239"/>
      <c r="AD9" s="239"/>
      <c r="AE9" s="245"/>
      <c r="AF9" s="239"/>
      <c r="AG9" s="239"/>
      <c r="AH9" s="239"/>
      <c r="AI9" s="239"/>
      <c r="AJ9" s="239"/>
      <c r="AK9" s="239"/>
    </row>
    <row r="10" spans="1:37" s="233" customFormat="1" ht="15.5">
      <c r="G10" s="233">
        <v>1000</v>
      </c>
      <c r="H10" s="495" t="s">
        <v>2684</v>
      </c>
      <c r="I10" s="255"/>
      <c r="J10" s="235"/>
      <c r="K10" s="235"/>
      <c r="L10" s="235"/>
      <c r="M10" s="234"/>
      <c r="N10" s="237"/>
      <c r="O10" s="237"/>
      <c r="P10" s="239"/>
      <c r="Q10" s="239"/>
      <c r="R10" s="239"/>
      <c r="S10" s="239"/>
      <c r="T10" s="239"/>
      <c r="U10" s="239"/>
      <c r="V10" s="239"/>
      <c r="W10" s="239"/>
      <c r="X10" s="239"/>
      <c r="Y10" s="245"/>
      <c r="Z10" s="239"/>
      <c r="AA10" s="239"/>
      <c r="AB10" s="239"/>
      <c r="AC10" s="239"/>
      <c r="AD10" s="239"/>
      <c r="AE10" s="245"/>
      <c r="AF10" s="239"/>
      <c r="AG10" s="239"/>
      <c r="AH10" s="239"/>
      <c r="AI10" s="239"/>
      <c r="AJ10" s="239"/>
      <c r="AK10" s="239"/>
    </row>
    <row r="11" spans="1:37" s="233" customFormat="1" ht="15.5">
      <c r="G11" s="233">
        <v>2000</v>
      </c>
      <c r="H11" s="495" t="s">
        <v>2685</v>
      </c>
      <c r="I11" s="255"/>
      <c r="J11" s="235"/>
      <c r="K11" s="235"/>
      <c r="L11" s="235"/>
      <c r="M11" s="234"/>
      <c r="N11" s="237"/>
      <c r="O11" s="237"/>
      <c r="P11" s="239"/>
      <c r="Q11" s="239"/>
      <c r="R11" s="239"/>
      <c r="S11" s="239"/>
      <c r="T11" s="239"/>
      <c r="U11" s="239"/>
      <c r="V11" s="239"/>
      <c r="W11" s="239"/>
      <c r="X11" s="239"/>
      <c r="Y11" s="245"/>
      <c r="Z11" s="239"/>
      <c r="AA11" s="239"/>
      <c r="AB11" s="239"/>
      <c r="AC11" s="239"/>
      <c r="AD11" s="239"/>
      <c r="AE11" s="245"/>
      <c r="AF11" s="239"/>
      <c r="AG11" s="239"/>
      <c r="AH11" s="239"/>
      <c r="AI11" s="239"/>
      <c r="AJ11" s="239"/>
      <c r="AK11" s="239"/>
    </row>
    <row r="12" spans="1:37" s="233" customFormat="1" ht="15.5">
      <c r="D12" s="242">
        <v>-2</v>
      </c>
      <c r="F12" s="256" t="s">
        <v>2161</v>
      </c>
      <c r="G12" s="256"/>
      <c r="H12" s="255"/>
      <c r="I12" s="255"/>
      <c r="J12" s="235"/>
      <c r="K12" s="235"/>
      <c r="L12" s="235"/>
      <c r="M12" s="234"/>
      <c r="N12" s="257">
        <v>-10</v>
      </c>
      <c r="O12" s="237"/>
      <c r="P12" s="239"/>
      <c r="Q12" s="258">
        <v>20</v>
      </c>
      <c r="R12" s="239"/>
      <c r="S12" s="239"/>
      <c r="T12" s="258">
        <v>2</v>
      </c>
      <c r="U12" s="239"/>
      <c r="V12" s="239"/>
      <c r="W12" s="259">
        <v>-1</v>
      </c>
      <c r="X12" s="239"/>
      <c r="Y12" s="245"/>
      <c r="Z12" s="259">
        <v>-1</v>
      </c>
      <c r="AA12" s="239"/>
      <c r="AB12" s="239"/>
      <c r="AC12" s="259">
        <v>-1</v>
      </c>
      <c r="AD12" s="239"/>
      <c r="AE12" s="245"/>
      <c r="AF12" s="259">
        <v>-1</v>
      </c>
      <c r="AG12" s="239"/>
      <c r="AH12" s="239"/>
      <c r="AI12" s="259">
        <v>-1</v>
      </c>
      <c r="AJ12" s="239"/>
      <c r="AK12" s="239"/>
    </row>
    <row r="13" spans="1:37" ht="15.5">
      <c r="D13" s="242">
        <v>12000</v>
      </c>
      <c r="E13" s="233"/>
      <c r="F13" s="256" t="s">
        <v>2162</v>
      </c>
      <c r="G13" s="256"/>
      <c r="H13" s="255"/>
      <c r="I13" s="255"/>
      <c r="J13" s="235"/>
      <c r="K13" s="235"/>
      <c r="L13" s="235"/>
      <c r="M13" s="234"/>
      <c r="N13" s="257">
        <v>1000</v>
      </c>
      <c r="O13" s="237"/>
      <c r="P13" s="239"/>
      <c r="Q13" s="258">
        <v>60</v>
      </c>
      <c r="R13" s="239"/>
      <c r="S13" s="239"/>
      <c r="T13" s="258">
        <v>12</v>
      </c>
      <c r="U13" s="239"/>
      <c r="V13" s="239"/>
      <c r="W13" s="259">
        <v>100</v>
      </c>
      <c r="X13" s="239"/>
      <c r="Y13" s="245"/>
      <c r="Z13" s="259">
        <v>100</v>
      </c>
      <c r="AA13" s="239"/>
      <c r="AB13" s="239"/>
      <c r="AC13" s="259">
        <v>100</v>
      </c>
      <c r="AD13" s="239"/>
      <c r="AE13" s="245"/>
      <c r="AF13" s="259">
        <v>100</v>
      </c>
      <c r="AG13" s="239"/>
      <c r="AH13" s="239"/>
      <c r="AI13" s="259">
        <v>100</v>
      </c>
      <c r="AJ13" s="239"/>
      <c r="AK13" s="239"/>
    </row>
    <row r="14" spans="1:37" ht="15.5">
      <c r="A14" s="59">
        <v>2021</v>
      </c>
      <c r="B14" s="59" t="str">
        <f>LEFT(report_47_flagged!B6,2)</f>
        <v>47</v>
      </c>
      <c r="C14" s="59">
        <f>report_47_flagged!E6</f>
        <v>1000</v>
      </c>
      <c r="D14" s="260">
        <f>report_47_flagged!AM6</f>
        <v>1201.9000000000001</v>
      </c>
      <c r="E14" s="59" t="str">
        <f>report_47_flagged!D6</f>
        <v>McLane-PARFLUX-Mark78H-21 ; frame# 2241, controller# 11640-01 and Motor # 11640-01 Cup set Dx21</v>
      </c>
      <c r="H14" s="59">
        <f>report_47_flagged!C6</f>
        <v>1</v>
      </c>
      <c r="I14" s="59">
        <f>report_47_flagged!F6</f>
        <v>1</v>
      </c>
      <c r="J14" s="66">
        <f>report_47_flagged!AC6</f>
        <v>44315</v>
      </c>
      <c r="K14" s="66">
        <f>report_47_flagged!AD6</f>
        <v>44332</v>
      </c>
      <c r="L14" s="66">
        <f>report_47_flagged!AE6</f>
        <v>44323.5</v>
      </c>
      <c r="M14" s="260">
        <f>report_47_flagged!AF6</f>
        <v>17</v>
      </c>
      <c r="N14" s="261">
        <f>report_47_flagged!H6</f>
        <v>60.561344537815131</v>
      </c>
      <c r="O14" s="261">
        <f>N14*$N$5</f>
        <v>3.6336806722689075E-2</v>
      </c>
      <c r="P14" s="261">
        <f>report_47_flagged!J6</f>
        <v>1</v>
      </c>
      <c r="Q14" s="262">
        <f>report_47_flagged!BA6</f>
        <v>36.979999999999997</v>
      </c>
      <c r="R14" s="262">
        <f>Q14*$Q$5</f>
        <v>0.81355999999999984</v>
      </c>
      <c r="S14" s="263">
        <f>report_47_flagged!BB6</f>
        <v>3</v>
      </c>
      <c r="T14" s="262">
        <f>report_47_flagged!BC6</f>
        <v>6.84</v>
      </c>
      <c r="U14" s="262">
        <f>T14*$T$5</f>
        <v>0.19836000000000001</v>
      </c>
      <c r="V14" s="263">
        <f>report_47_flagged!BD6</f>
        <v>4</v>
      </c>
      <c r="W14" s="264">
        <f>(report_47_flagged!N6/100)*report_47_flagged!H6</f>
        <v>12.456503864769175</v>
      </c>
      <c r="X14" s="264">
        <f>W14*SQRT(($W$5)^2+($N$5)^2)</f>
        <v>0.26169332941236584</v>
      </c>
      <c r="Y14" s="260">
        <f>report_47_flagged!AP6</f>
        <v>1</v>
      </c>
      <c r="Z14" s="264">
        <f>(report_47_flagged!P6/100)*report_47_flagged!H6</f>
        <v>1.3107285810198104</v>
      </c>
      <c r="AA14" s="264">
        <f>Z14*SQRT(($Z$5)^2+($N$5)^2)</f>
        <v>4.9813894406162434E-2</v>
      </c>
      <c r="AB14" s="260">
        <f>report_47_flagged!AR6</f>
        <v>1</v>
      </c>
      <c r="AC14" s="264">
        <f>(report_47_flagged!R6/100)*report_47_flagged!H6</f>
        <v>8.3781374783885365</v>
      </c>
      <c r="AD14" s="264">
        <f>AC14*SQRT(($AC$5)^2+($N$5)^2)</f>
        <v>0.23464170266867077</v>
      </c>
      <c r="AE14" s="260">
        <f>report_47_flagged!AT6</f>
        <v>1</v>
      </c>
      <c r="AF14" s="264">
        <f>(report_47_flagged!L6/100)*report_47_flagged!H6</f>
        <v>4.0783663863806385</v>
      </c>
      <c r="AG14" s="264">
        <f>AF14*SQRT(($AF$5)^2+($N$5)^2)</f>
        <v>7.7527588868739686E-2</v>
      </c>
      <c r="AH14" s="260">
        <f>report_47_flagged!AV6</f>
        <v>1</v>
      </c>
      <c r="AI14" s="264">
        <f>(report_47_flagged!T6/100)*report_47_flagged!H6</f>
        <v>1.8690849088898429</v>
      </c>
      <c r="AJ14" s="264">
        <f>AI14*SQRT(($AI$5)^2+($N$5)^2)</f>
        <v>9.1592026304448779E-2</v>
      </c>
      <c r="AK14" s="260">
        <f>report_47_flagged!AX6</f>
        <v>1</v>
      </c>
    </row>
    <row r="15" spans="1:37" ht="15.5">
      <c r="A15" s="59">
        <v>2021</v>
      </c>
      <c r="B15" s="59" t="str">
        <f>LEFT(report_47_flagged!B7,2)</f>
        <v>47</v>
      </c>
      <c r="C15" s="59">
        <f>report_47_flagged!E7</f>
        <v>1000</v>
      </c>
      <c r="D15" s="260">
        <f>report_47_flagged!AM7</f>
        <v>1201.9000000000001</v>
      </c>
      <c r="E15" s="59" t="str">
        <f>report_47_flagged!D7</f>
        <v>McLane-PARFLUX-Mark78H-21 ; frame# 2241, controller# 11640-01 and Motor # 11640-01 Cup set Dx21</v>
      </c>
      <c r="H15" s="59">
        <f>report_47_flagged!C7</f>
        <v>2</v>
      </c>
      <c r="I15" s="59">
        <f>report_47_flagged!F7</f>
        <v>1</v>
      </c>
      <c r="J15" s="66">
        <f>report_47_flagged!AC7</f>
        <v>44332</v>
      </c>
      <c r="K15" s="66">
        <f>report_47_flagged!AD7</f>
        <v>44349</v>
      </c>
      <c r="L15" s="66">
        <f>report_47_flagged!AE7</f>
        <v>44340.5</v>
      </c>
      <c r="M15" s="260">
        <f>report_47_flagged!AF7</f>
        <v>17</v>
      </c>
      <c r="N15" s="261">
        <f>report_47_flagged!H7</f>
        <v>57.31428571428571</v>
      </c>
      <c r="O15" s="261">
        <f t="shared" ref="O15:O76" si="0">N15*$N$5</f>
        <v>3.4388571428571421E-2</v>
      </c>
      <c r="P15" s="261">
        <f>report_47_flagged!J7</f>
        <v>1</v>
      </c>
      <c r="Q15" s="262">
        <f>report_47_flagged!BA7</f>
        <v>38.82</v>
      </c>
      <c r="R15" s="262">
        <f t="shared" ref="R15:R76" si="1">Q15*$Q$5</f>
        <v>0.85403999999999991</v>
      </c>
      <c r="S15" s="263">
        <f>report_47_flagged!BB7</f>
        <v>3</v>
      </c>
      <c r="T15" s="262">
        <f>report_47_flagged!BC7</f>
        <v>8.31</v>
      </c>
      <c r="U15" s="262">
        <f t="shared" ref="U15:U76" si="2">T15*$T$5</f>
        <v>0.24099000000000004</v>
      </c>
      <c r="V15" s="263">
        <f>report_47_flagged!BD7</f>
        <v>3</v>
      </c>
      <c r="W15" s="264">
        <f>(report_47_flagged!N7/100)*report_47_flagged!H7</f>
        <v>8.5341399737766803</v>
      </c>
      <c r="X15" s="264">
        <f t="shared" ref="X15:X76" si="3">W15*SQRT(($W$5)^2+($N$5)^2)</f>
        <v>0.1792900742980795</v>
      </c>
      <c r="Y15" s="260">
        <f>report_47_flagged!AP7</f>
        <v>1</v>
      </c>
      <c r="Z15" s="264">
        <f>(report_47_flagged!P7/100)*report_47_flagged!H7</f>
        <v>0.54900308224133088</v>
      </c>
      <c r="AA15" s="264">
        <f t="shared" ref="AA15:AA76" si="4">Z15*SQRT(($Z$5)^2+($N$5)^2)</f>
        <v>2.0864717504023078E-2</v>
      </c>
      <c r="AB15" s="260">
        <f>report_47_flagged!AR7</f>
        <v>1</v>
      </c>
      <c r="AC15" s="264">
        <f>(report_47_flagged!R7/100)*report_47_flagged!H7</f>
        <v>3.9279611390640072</v>
      </c>
      <c r="AD15" s="264">
        <f t="shared" ref="AD15:AD76" si="5">AC15*SQRT(($AC$5)^2+($N$5)^2)</f>
        <v>0.11000816017447643</v>
      </c>
      <c r="AE15" s="260">
        <f>report_47_flagged!AT7</f>
        <v>1</v>
      </c>
      <c r="AF15" s="264">
        <f>(report_47_flagged!L7/100)*report_47_flagged!H7</f>
        <v>4.6061788347126731</v>
      </c>
      <c r="AG15" s="264">
        <f t="shared" ref="AG15:AG76" si="6">AF15*SQRT(($AF$5)^2+($N$5)^2)</f>
        <v>8.7561024469508128E-2</v>
      </c>
      <c r="AH15" s="260">
        <f>report_47_flagged!AV7</f>
        <v>1</v>
      </c>
      <c r="AI15" s="264">
        <f>(report_47_flagged!T7/100)*report_47_flagged!H7</f>
        <v>1.8273517614131527</v>
      </c>
      <c r="AJ15" s="264">
        <f t="shared" ref="AJ15:AJ76" si="7">AI15*SQRT(($AI$5)^2+($N$5)^2)</f>
        <v>8.9546948778397376E-2</v>
      </c>
      <c r="AK15" s="260">
        <f>report_47_flagged!AX7</f>
        <v>1</v>
      </c>
    </row>
    <row r="16" spans="1:37" ht="15.5">
      <c r="A16" s="59">
        <v>2021</v>
      </c>
      <c r="B16" s="59" t="str">
        <f>LEFT(report_47_flagged!B8,2)</f>
        <v>47</v>
      </c>
      <c r="C16" s="59">
        <f>report_47_flagged!E8</f>
        <v>1000</v>
      </c>
      <c r="D16" s="260">
        <f>report_47_flagged!AM8</f>
        <v>1201.9000000000001</v>
      </c>
      <c r="E16" s="59" t="str">
        <f>report_47_flagged!D8</f>
        <v>McLane-PARFLUX-Mark78H-21 ; frame# 2241, controller# 11640-01 and Motor # 11640-01 Cup set Dx21</v>
      </c>
      <c r="H16" s="59">
        <f>report_47_flagged!C8</f>
        <v>3</v>
      </c>
      <c r="I16" s="59">
        <f>report_47_flagged!F8</f>
        <v>1</v>
      </c>
      <c r="J16" s="66">
        <f>report_47_flagged!AC8</f>
        <v>44349</v>
      </c>
      <c r="K16" s="66">
        <f>report_47_flagged!AD8</f>
        <v>44366</v>
      </c>
      <c r="L16" s="66">
        <f>report_47_flagged!AE8</f>
        <v>44357.5</v>
      </c>
      <c r="M16" s="260">
        <f>report_47_flagged!AF8</f>
        <v>17</v>
      </c>
      <c r="N16" s="261">
        <f>report_47_flagged!H8</f>
        <v>64.191596638655454</v>
      </c>
      <c r="O16" s="261">
        <f t="shared" si="0"/>
        <v>3.8514957983193272E-2</v>
      </c>
      <c r="P16" s="261">
        <f>report_47_flagged!J8</f>
        <v>1</v>
      </c>
      <c r="Q16" s="262">
        <f>report_47_flagged!BA8</f>
        <v>38.5</v>
      </c>
      <c r="R16" s="262">
        <f t="shared" si="1"/>
        <v>0.84699999999999998</v>
      </c>
      <c r="S16" s="263">
        <f>report_47_flagged!BB8</f>
        <v>3</v>
      </c>
      <c r="T16" s="262">
        <f>report_47_flagged!BC8</f>
        <v>8.27</v>
      </c>
      <c r="U16" s="262">
        <f t="shared" si="2"/>
        <v>0.23982999999999999</v>
      </c>
      <c r="V16" s="263">
        <f>report_47_flagged!BD8</f>
        <v>3</v>
      </c>
      <c r="W16" s="264">
        <f>(report_47_flagged!N8/100)*report_47_flagged!H8</f>
        <v>9.4397724590301504</v>
      </c>
      <c r="X16" s="264">
        <f t="shared" si="3"/>
        <v>0.1983161174690112</v>
      </c>
      <c r="Y16" s="260">
        <f>report_47_flagged!AP8</f>
        <v>1</v>
      </c>
      <c r="Z16" s="264">
        <f>(report_47_flagged!P8/100)*report_47_flagged!H8</f>
        <v>0.66956987972219439</v>
      </c>
      <c r="AA16" s="264">
        <f t="shared" si="4"/>
        <v>2.5446826878587889E-2</v>
      </c>
      <c r="AB16" s="260">
        <f>report_47_flagged!AR8</f>
        <v>1</v>
      </c>
      <c r="AC16" s="264">
        <f>(report_47_flagged!R8/100)*report_47_flagged!H8</f>
        <v>4.4339584546434034</v>
      </c>
      <c r="AD16" s="264">
        <f t="shared" si="5"/>
        <v>0.12417933747725834</v>
      </c>
      <c r="AE16" s="260">
        <f>report_47_flagged!AT8</f>
        <v>1</v>
      </c>
      <c r="AF16" s="264">
        <f>(report_47_flagged!L8/100)*report_47_flagged!H8</f>
        <v>5.005814004386747</v>
      </c>
      <c r="AG16" s="264">
        <f t="shared" si="6"/>
        <v>9.5157877767300336E-2</v>
      </c>
      <c r="AH16" s="260">
        <f>report_47_flagged!AV8</f>
        <v>1</v>
      </c>
      <c r="AI16" s="264">
        <f>(report_47_flagged!T8/100)*report_47_flagged!H8</f>
        <v>2.547783932034033</v>
      </c>
      <c r="AJ16" s="264">
        <f t="shared" si="7"/>
        <v>0.12485077152515081</v>
      </c>
      <c r="AK16" s="260">
        <f>report_47_flagged!AX8</f>
        <v>1</v>
      </c>
    </row>
    <row r="17" spans="1:37" ht="15.5">
      <c r="A17" s="59">
        <v>2021</v>
      </c>
      <c r="B17" s="59" t="str">
        <f>LEFT(report_47_flagged!B9,2)</f>
        <v>47</v>
      </c>
      <c r="C17" s="59">
        <f>report_47_flagged!E9</f>
        <v>1000</v>
      </c>
      <c r="D17" s="260">
        <f>report_47_flagged!AM9</f>
        <v>1201.9000000000001</v>
      </c>
      <c r="E17" s="59" t="str">
        <f>report_47_flagged!D9</f>
        <v>McLane-PARFLUX-Mark78H-21 ; frame# 2241, controller# 11640-01 and Motor # 11640-01 Cup set Dx21</v>
      </c>
      <c r="H17" s="59">
        <f>report_47_flagged!C9</f>
        <v>4</v>
      </c>
      <c r="I17" s="59">
        <f>report_47_flagged!F9</f>
        <v>1</v>
      </c>
      <c r="J17" s="66">
        <f>report_47_flagged!AC9</f>
        <v>44366</v>
      </c>
      <c r="K17" s="66">
        <f>report_47_flagged!AD9</f>
        <v>44383</v>
      </c>
      <c r="L17" s="66">
        <f>report_47_flagged!AE9</f>
        <v>44374.5</v>
      </c>
      <c r="M17" s="260">
        <f>report_47_flagged!AF9</f>
        <v>17</v>
      </c>
      <c r="N17" s="261">
        <f>report_47_flagged!H9</f>
        <v>63.031932773109247</v>
      </c>
      <c r="O17" s="261">
        <f t="shared" si="0"/>
        <v>3.7819159663865544E-2</v>
      </c>
      <c r="P17" s="261">
        <f>report_47_flagged!J9</f>
        <v>1</v>
      </c>
      <c r="Q17" s="262">
        <f>report_47_flagged!BA9</f>
        <v>38.869999999999997</v>
      </c>
      <c r="R17" s="262">
        <f t="shared" si="1"/>
        <v>0.8551399999999999</v>
      </c>
      <c r="S17" s="263">
        <f>report_47_flagged!BB9</f>
        <v>3</v>
      </c>
      <c r="T17" s="262">
        <f>report_47_flagged!BC9</f>
        <v>8.33</v>
      </c>
      <c r="U17" s="262">
        <f t="shared" si="2"/>
        <v>0.24157000000000001</v>
      </c>
      <c r="V17" s="263">
        <f>report_47_flagged!BD9</f>
        <v>3</v>
      </c>
      <c r="W17" s="264">
        <f>(report_47_flagged!N9/100)*report_47_flagged!H9</f>
        <v>9.2449565819491859</v>
      </c>
      <c r="X17" s="264">
        <f t="shared" si="3"/>
        <v>0.19422331454058275</v>
      </c>
      <c r="Y17" s="260">
        <f>report_47_flagged!AP9</f>
        <v>1</v>
      </c>
      <c r="Z17" s="264">
        <f>(report_47_flagged!P9/100)*report_47_flagged!H9</f>
        <v>0.62435539720038402</v>
      </c>
      <c r="AA17" s="264">
        <f t="shared" si="4"/>
        <v>2.372846238224164E-2</v>
      </c>
      <c r="AB17" s="260">
        <f>report_47_flagged!AR9</f>
        <v>1</v>
      </c>
      <c r="AC17" s="264">
        <f>(report_47_flagged!R9/100)*report_47_flagged!H9</f>
        <v>4.0423807592370062</v>
      </c>
      <c r="AD17" s="264">
        <f t="shared" si="5"/>
        <v>0.11321264500960221</v>
      </c>
      <c r="AE17" s="260">
        <f>report_47_flagged!AT9</f>
        <v>1</v>
      </c>
      <c r="AF17" s="264">
        <f>(report_47_flagged!L9/100)*report_47_flagged!H9</f>
        <v>5.2025758227121806</v>
      </c>
      <c r="AG17" s="264">
        <f t="shared" si="6"/>
        <v>9.8898215910322718E-2</v>
      </c>
      <c r="AH17" s="260">
        <f>report_47_flagged!AV9</f>
        <v>1</v>
      </c>
      <c r="AI17" s="264">
        <f>(report_47_flagged!T9/100)*report_47_flagged!H9</f>
        <v>2.7666734595277513</v>
      </c>
      <c r="AJ17" s="264">
        <f t="shared" si="7"/>
        <v>0.13557716242618323</v>
      </c>
      <c r="AK17" s="260">
        <f>report_47_flagged!AX9</f>
        <v>1</v>
      </c>
    </row>
    <row r="18" spans="1:37" ht="15.5">
      <c r="A18" s="59">
        <v>2021</v>
      </c>
      <c r="B18" s="59" t="str">
        <f>LEFT(report_47_flagged!B10,2)</f>
        <v>47</v>
      </c>
      <c r="C18" s="59">
        <f>report_47_flagged!E10</f>
        <v>1000</v>
      </c>
      <c r="D18" s="260">
        <f>report_47_flagged!AM10</f>
        <v>1201.9000000000001</v>
      </c>
      <c r="E18" s="59" t="str">
        <f>report_47_flagged!D10</f>
        <v>McLane-PARFLUX-Mark78H-21 ; frame# 2241, controller# 11640-01 and Motor # 11640-01 Cup set Dx21</v>
      </c>
      <c r="H18" s="59">
        <f>report_47_flagged!C10</f>
        <v>5</v>
      </c>
      <c r="I18" s="59">
        <f>report_47_flagged!F10</f>
        <v>1</v>
      </c>
      <c r="J18" s="66">
        <f>report_47_flagged!AC10</f>
        <v>44383</v>
      </c>
      <c r="K18" s="66">
        <f>report_47_flagged!AD10</f>
        <v>44400</v>
      </c>
      <c r="L18" s="66">
        <f>report_47_flagged!AE10</f>
        <v>44391.5</v>
      </c>
      <c r="M18" s="260">
        <f>report_47_flagged!AF10</f>
        <v>17</v>
      </c>
      <c r="N18" s="261">
        <f>report_47_flagged!H10</f>
        <v>45.667226890756311</v>
      </c>
      <c r="O18" s="261">
        <f t="shared" si="0"/>
        <v>2.7400336134453786E-2</v>
      </c>
      <c r="P18" s="261">
        <f>report_47_flagged!J10</f>
        <v>1</v>
      </c>
      <c r="Q18" s="262">
        <f>report_47_flagged!BA10</f>
        <v>39.18</v>
      </c>
      <c r="R18" s="262">
        <f t="shared" si="1"/>
        <v>0.86195999999999995</v>
      </c>
      <c r="S18" s="263">
        <f>report_47_flagged!BB10</f>
        <v>3</v>
      </c>
      <c r="T18" s="262">
        <f>report_47_flagged!BC10</f>
        <v>8.34</v>
      </c>
      <c r="U18" s="262">
        <f t="shared" si="2"/>
        <v>0.24186000000000002</v>
      </c>
      <c r="V18" s="263">
        <f>report_47_flagged!BD10</f>
        <v>3</v>
      </c>
      <c r="W18" s="264">
        <f>(report_47_flagged!N10/100)*report_47_flagged!H10</f>
        <v>6.5365303633233092</v>
      </c>
      <c r="X18" s="264">
        <f t="shared" si="3"/>
        <v>0.13732315360340441</v>
      </c>
      <c r="Y18" s="260">
        <f>report_47_flagged!AP10</f>
        <v>1</v>
      </c>
      <c r="Z18" s="264">
        <f>(report_47_flagged!P10/100)*report_47_flagged!H10</f>
        <v>0.43761174820250831</v>
      </c>
      <c r="AA18" s="264">
        <f t="shared" si="4"/>
        <v>1.6631319200268831E-2</v>
      </c>
      <c r="AB18" s="260">
        <f>report_47_flagged!AR10</f>
        <v>1</v>
      </c>
      <c r="AC18" s="264">
        <f>(report_47_flagged!R10/100)*report_47_flagged!H10</f>
        <v>2.7378529725749048</v>
      </c>
      <c r="AD18" s="264">
        <f t="shared" si="5"/>
        <v>7.6677481695492558E-2</v>
      </c>
      <c r="AE18" s="260">
        <f>report_47_flagged!AT10</f>
        <v>1</v>
      </c>
      <c r="AF18" s="264">
        <f>(report_47_flagged!L10/100)*report_47_flagged!H10</f>
        <v>3.7986773907484044</v>
      </c>
      <c r="AG18" s="264">
        <f t="shared" si="6"/>
        <v>7.2210848926762619E-2</v>
      </c>
      <c r="AH18" s="260">
        <f>report_47_flagged!AV10</f>
        <v>1</v>
      </c>
      <c r="AI18" s="264">
        <f>(report_47_flagged!T10/100)*report_47_flagged!H10</f>
        <v>1.903606232777489</v>
      </c>
      <c r="AJ18" s="264">
        <f t="shared" si="7"/>
        <v>9.3283697983216812E-2</v>
      </c>
      <c r="AK18" s="260">
        <f>report_47_flagged!AX10</f>
        <v>1</v>
      </c>
    </row>
    <row r="19" spans="1:37" ht="15.5">
      <c r="A19" s="59">
        <v>2021</v>
      </c>
      <c r="B19" s="59" t="str">
        <f>LEFT(report_47_flagged!B11,2)</f>
        <v>47</v>
      </c>
      <c r="C19" s="59">
        <f>report_47_flagged!E11</f>
        <v>1000</v>
      </c>
      <c r="D19" s="260">
        <f>report_47_flagged!AM11</f>
        <v>1201.9000000000001</v>
      </c>
      <c r="E19" s="59" t="str">
        <f>report_47_flagged!D11</f>
        <v>McLane-PARFLUX-Mark78H-21 ; frame# 2241, controller# 11640-01 and Motor # 11640-01 Cup set Dx21</v>
      </c>
      <c r="H19" s="59">
        <f>report_47_flagged!C11</f>
        <v>6</v>
      </c>
      <c r="I19" s="59">
        <f>report_47_flagged!F11</f>
        <v>1</v>
      </c>
      <c r="J19" s="66">
        <f>report_47_flagged!AC11</f>
        <v>44400</v>
      </c>
      <c r="K19" s="66">
        <f>report_47_flagged!AD11</f>
        <v>44417</v>
      </c>
      <c r="L19" s="66">
        <f>report_47_flagged!AE11</f>
        <v>44408.5</v>
      </c>
      <c r="M19" s="260">
        <f>report_47_flagged!AF11</f>
        <v>17</v>
      </c>
      <c r="N19" s="261">
        <f>report_47_flagged!H11</f>
        <v>31.752941176470593</v>
      </c>
      <c r="O19" s="261">
        <f t="shared" si="0"/>
        <v>1.9051764705882355E-2</v>
      </c>
      <c r="P19" s="261">
        <f>report_47_flagged!J11</f>
        <v>1</v>
      </c>
      <c r="Q19" s="262">
        <f>report_47_flagged!BA11</f>
        <v>40.200000000000003</v>
      </c>
      <c r="R19" s="262">
        <f t="shared" si="1"/>
        <v>0.88439999999999996</v>
      </c>
      <c r="S19" s="263">
        <f>report_47_flagged!BB11</f>
        <v>3</v>
      </c>
      <c r="T19" s="262">
        <f>report_47_flagged!BC11</f>
        <v>8.39</v>
      </c>
      <c r="U19" s="262">
        <f t="shared" si="2"/>
        <v>0.24331000000000003</v>
      </c>
      <c r="V19" s="263">
        <f>report_47_flagged!BD11</f>
        <v>3</v>
      </c>
      <c r="W19" s="264">
        <f>(report_47_flagged!N11/100)*report_47_flagged!H11</f>
        <v>4.9425226131888005</v>
      </c>
      <c r="X19" s="264">
        <f t="shared" si="3"/>
        <v>0.10383533071422138</v>
      </c>
      <c r="Y19" s="260">
        <f>report_47_flagged!AP11</f>
        <v>1</v>
      </c>
      <c r="Z19" s="264">
        <f>(report_47_flagged!P11/100)*report_47_flagged!H11</f>
        <v>0.41241578984260563</v>
      </c>
      <c r="AA19" s="264">
        <f t="shared" si="4"/>
        <v>1.5673753440753828E-2</v>
      </c>
      <c r="AB19" s="260">
        <f>report_47_flagged!AR11</f>
        <v>1</v>
      </c>
      <c r="AC19" s="264">
        <f>(report_47_flagged!R11/100)*report_47_flagged!H11</f>
        <v>2.4461761064352974</v>
      </c>
      <c r="AD19" s="264">
        <f t="shared" si="5"/>
        <v>6.8508654593215979E-2</v>
      </c>
      <c r="AE19" s="260">
        <f>report_47_flagged!AT11</f>
        <v>1</v>
      </c>
      <c r="AF19" s="264">
        <f>(report_47_flagged!L11/100)*report_47_flagged!H11</f>
        <v>2.4963465067535031</v>
      </c>
      <c r="AG19" s="264">
        <f t="shared" si="6"/>
        <v>4.7454227333717819E-2</v>
      </c>
      <c r="AH19" s="260">
        <f>report_47_flagged!AV11</f>
        <v>1</v>
      </c>
      <c r="AI19" s="264">
        <f>(report_47_flagged!T11/100)*report_47_flagged!H11</f>
        <v>1.1928006928750574</v>
      </c>
      <c r="AJ19" s="264">
        <f t="shared" si="7"/>
        <v>5.8451615503475156E-2</v>
      </c>
      <c r="AK19" s="260">
        <f>report_47_flagged!AX11</f>
        <v>1</v>
      </c>
    </row>
    <row r="20" spans="1:37" ht="15.5">
      <c r="A20" s="59">
        <v>2021</v>
      </c>
      <c r="B20" s="59" t="str">
        <f>LEFT(report_47_flagged!B12,2)</f>
        <v>47</v>
      </c>
      <c r="C20" s="59">
        <f>report_47_flagged!E12</f>
        <v>1000</v>
      </c>
      <c r="D20" s="260">
        <f>report_47_flagged!AM12</f>
        <v>1201.9000000000001</v>
      </c>
      <c r="E20" s="59" t="str">
        <f>report_47_flagged!D12</f>
        <v>McLane-PARFLUX-Mark78H-21 ; frame# 2241, controller# 11640-01 and Motor # 11640-01 Cup set Dx21</v>
      </c>
      <c r="H20" s="59">
        <f>report_47_flagged!C12</f>
        <v>7</v>
      </c>
      <c r="I20" s="59">
        <f>report_47_flagged!F12</f>
        <v>1</v>
      </c>
      <c r="J20" s="66">
        <f>report_47_flagged!AC12</f>
        <v>44417</v>
      </c>
      <c r="K20" s="66">
        <f>report_47_flagged!AD12</f>
        <v>44434</v>
      </c>
      <c r="L20" s="66">
        <f>report_47_flagged!AE12</f>
        <v>44425.5</v>
      </c>
      <c r="M20" s="260">
        <f>report_47_flagged!AF12</f>
        <v>17</v>
      </c>
      <c r="N20" s="261">
        <f>report_47_flagged!H12</f>
        <v>24.936134453781513</v>
      </c>
      <c r="O20" s="261">
        <f t="shared" si="0"/>
        <v>1.4961680672268907E-2</v>
      </c>
      <c r="P20" s="261">
        <f>report_47_flagged!J12</f>
        <v>1</v>
      </c>
      <c r="Q20" s="262">
        <f>report_47_flagged!BA12</f>
        <v>39.86</v>
      </c>
      <c r="R20" s="262">
        <f t="shared" si="1"/>
        <v>0.87691999999999992</v>
      </c>
      <c r="S20" s="263">
        <f>report_47_flagged!BB12</f>
        <v>3</v>
      </c>
      <c r="T20" s="262">
        <f>report_47_flagged!BC12</f>
        <v>8.4499999999999993</v>
      </c>
      <c r="U20" s="262">
        <f t="shared" si="2"/>
        <v>0.24504999999999999</v>
      </c>
      <c r="V20" s="263">
        <f>report_47_flagged!BD12</f>
        <v>3</v>
      </c>
      <c r="W20" s="264">
        <f>(report_47_flagged!N12/100)*report_47_flagged!H12</f>
        <v>3.9406788428330621</v>
      </c>
      <c r="X20" s="264">
        <f t="shared" si="3"/>
        <v>8.2788026056214992E-2</v>
      </c>
      <c r="Y20" s="260">
        <f>report_47_flagged!AP12</f>
        <v>1</v>
      </c>
      <c r="Z20" s="264">
        <f>(report_47_flagged!P12/100)*report_47_flagged!H12</f>
        <v>0.30552386522693797</v>
      </c>
      <c r="AA20" s="264">
        <f t="shared" si="4"/>
        <v>1.1611354006743266E-2</v>
      </c>
      <c r="AB20" s="260">
        <f>report_47_flagged!AR12</f>
        <v>1</v>
      </c>
      <c r="AC20" s="264">
        <f>(report_47_flagged!R12/100)*report_47_flagged!H12</f>
        <v>1.9757465109890606</v>
      </c>
      <c r="AD20" s="264">
        <f t="shared" si="5"/>
        <v>5.5333602077549927E-2</v>
      </c>
      <c r="AE20" s="260">
        <f>report_47_flagged!AT12</f>
        <v>1</v>
      </c>
      <c r="AF20" s="264">
        <f>(report_47_flagged!L12/100)*report_47_flagged!H12</f>
        <v>1.9649323318440017</v>
      </c>
      <c r="AG20" s="264">
        <f t="shared" si="6"/>
        <v>3.7352324814859832E-2</v>
      </c>
      <c r="AH20" s="260">
        <f>report_47_flagged!AV12</f>
        <v>1</v>
      </c>
      <c r="AI20" s="264">
        <f>(report_47_flagged!T12/100)*report_47_flagged!H12</f>
        <v>1.0301821454372078</v>
      </c>
      <c r="AJ20" s="264">
        <f t="shared" si="7"/>
        <v>5.0482709327155151E-2</v>
      </c>
      <c r="AK20" s="260">
        <f>report_47_flagged!AX12</f>
        <v>1</v>
      </c>
    </row>
    <row r="21" spans="1:37" ht="15.5">
      <c r="A21" s="59">
        <v>2021</v>
      </c>
      <c r="B21" s="59" t="str">
        <f>LEFT(report_47_flagged!B13,2)</f>
        <v>47</v>
      </c>
      <c r="C21" s="59">
        <f>report_47_flagged!E13</f>
        <v>1000</v>
      </c>
      <c r="D21" s="260">
        <f>report_47_flagged!AM13</f>
        <v>1201.9000000000001</v>
      </c>
      <c r="E21" s="59" t="str">
        <f>report_47_flagged!D13</f>
        <v>McLane-PARFLUX-Mark78H-21 ; frame# 2241, controller# 11640-01 and Motor # 11640-01 Cup set Dx21</v>
      </c>
      <c r="H21" s="59">
        <f>report_47_flagged!C13</f>
        <v>8</v>
      </c>
      <c r="I21" s="59">
        <f>report_47_flagged!F13</f>
        <v>1</v>
      </c>
      <c r="J21" s="66">
        <f>report_47_flagged!AC13</f>
        <v>44434</v>
      </c>
      <c r="K21" s="66">
        <f>report_47_flagged!AD13</f>
        <v>44451</v>
      </c>
      <c r="L21" s="66">
        <f>report_47_flagged!AE13</f>
        <v>44442.5</v>
      </c>
      <c r="M21" s="260">
        <f>report_47_flagged!AF13</f>
        <v>17</v>
      </c>
      <c r="N21" s="261">
        <f>report_47_flagged!H13</f>
        <v>40.213445378151256</v>
      </c>
      <c r="O21" s="261">
        <f t="shared" si="0"/>
        <v>2.4128067226890752E-2</v>
      </c>
      <c r="P21" s="261">
        <f>report_47_flagged!J13</f>
        <v>1</v>
      </c>
      <c r="Q21" s="262">
        <f>report_47_flagged!BA13</f>
        <v>39.68</v>
      </c>
      <c r="R21" s="262">
        <f t="shared" si="1"/>
        <v>0.87295999999999996</v>
      </c>
      <c r="S21" s="263">
        <f>report_47_flagged!BB13</f>
        <v>3</v>
      </c>
      <c r="T21" s="262">
        <f>report_47_flagged!BC13</f>
        <v>8.41</v>
      </c>
      <c r="U21" s="262">
        <f t="shared" si="2"/>
        <v>0.24389000000000002</v>
      </c>
      <c r="V21" s="263">
        <f>report_47_flagged!BD13</f>
        <v>3</v>
      </c>
      <c r="W21" s="264">
        <f>(report_47_flagged!N13/100)*report_47_flagged!H13</f>
        <v>6.1018443012878674</v>
      </c>
      <c r="X21" s="264">
        <f t="shared" si="3"/>
        <v>0.12819102118020198</v>
      </c>
      <c r="Y21" s="260">
        <f>report_47_flagged!AP13</f>
        <v>1</v>
      </c>
      <c r="Z21" s="264">
        <f>(report_47_flagged!P13/100)*report_47_flagged!H13</f>
        <v>0.42683070903866227</v>
      </c>
      <c r="AA21" s="264">
        <f t="shared" si="4"/>
        <v>1.6221588647144951E-2</v>
      </c>
      <c r="AB21" s="260">
        <f>report_47_flagged!AR13</f>
        <v>1</v>
      </c>
      <c r="AC21" s="264">
        <f>(report_47_flagged!R13/100)*report_47_flagged!H13</f>
        <v>3.0229064959444534</v>
      </c>
      <c r="AD21" s="264">
        <f t="shared" si="5"/>
        <v>8.4660812626462134E-2</v>
      </c>
      <c r="AE21" s="260">
        <f>report_47_flagged!AT13</f>
        <v>1</v>
      </c>
      <c r="AF21" s="264">
        <f>(report_47_flagged!L13/100)*report_47_flagged!H13</f>
        <v>3.078937805343414</v>
      </c>
      <c r="AG21" s="264">
        <f t="shared" si="6"/>
        <v>5.8528979917599158E-2</v>
      </c>
      <c r="AH21" s="260">
        <f>report_47_flagged!AV13</f>
        <v>1</v>
      </c>
      <c r="AI21" s="264">
        <f>(report_47_flagged!T13/100)*report_47_flagged!H13</f>
        <v>1.8659582960378149</v>
      </c>
      <c r="AJ21" s="264">
        <f t="shared" si="7"/>
        <v>9.1438810789613301E-2</v>
      </c>
      <c r="AK21" s="260">
        <f>report_47_flagged!AX13</f>
        <v>1</v>
      </c>
    </row>
    <row r="22" spans="1:37" ht="15.5">
      <c r="A22" s="59">
        <v>2021</v>
      </c>
      <c r="B22" s="59" t="str">
        <f>LEFT(report_47_flagged!B14,2)</f>
        <v>47</v>
      </c>
      <c r="C22" s="59">
        <f>report_47_flagged!E14</f>
        <v>1000</v>
      </c>
      <c r="D22" s="260">
        <f>report_47_flagged!AM14</f>
        <v>1201.9000000000001</v>
      </c>
      <c r="E22" s="59" t="str">
        <f>report_47_flagged!D14</f>
        <v>McLane-PARFLUX-Mark78H-21 ; frame# 2241, controller# 11640-01 and Motor # 11640-01 Cup set Dx21</v>
      </c>
      <c r="H22" s="59">
        <f>report_47_flagged!C14</f>
        <v>9</v>
      </c>
      <c r="I22" s="59">
        <f>report_47_flagged!F14</f>
        <v>1</v>
      </c>
      <c r="J22" s="66">
        <f>report_47_flagged!AC14</f>
        <v>44451</v>
      </c>
      <c r="K22" s="66">
        <f>report_47_flagged!AD14</f>
        <v>44468</v>
      </c>
      <c r="L22" s="66">
        <f>report_47_flagged!AE14</f>
        <v>44459.5</v>
      </c>
      <c r="M22" s="260">
        <f>report_47_flagged!AF14</f>
        <v>17</v>
      </c>
      <c r="N22" s="261">
        <f>report_47_flagged!H14</f>
        <v>64.198319327731099</v>
      </c>
      <c r="O22" s="261">
        <f t="shared" si="0"/>
        <v>3.8518991596638658E-2</v>
      </c>
      <c r="P22" s="261">
        <f>report_47_flagged!J14</f>
        <v>1</v>
      </c>
      <c r="Q22" s="262">
        <f>report_47_flagged!BA14</f>
        <v>39.17</v>
      </c>
      <c r="R22" s="262">
        <f t="shared" si="1"/>
        <v>0.86173999999999995</v>
      </c>
      <c r="S22" s="263">
        <f>report_47_flagged!BB14</f>
        <v>3</v>
      </c>
      <c r="T22" s="262">
        <f>report_47_flagged!BC14</f>
        <v>8.2899999999999991</v>
      </c>
      <c r="U22" s="262">
        <f t="shared" si="2"/>
        <v>0.24040999999999998</v>
      </c>
      <c r="V22" s="263">
        <f>report_47_flagged!BD14</f>
        <v>3</v>
      </c>
      <c r="W22" s="264">
        <f>(report_47_flagged!N14/100)*report_47_flagged!H14</f>
        <v>9.4936107961830984</v>
      </c>
      <c r="X22" s="264">
        <f t="shared" si="3"/>
        <v>0.19944718392654501</v>
      </c>
      <c r="Y22" s="260">
        <f>report_47_flagged!AP14</f>
        <v>1</v>
      </c>
      <c r="Z22" s="264">
        <f>(report_47_flagged!P14/100)*report_47_flagged!H14</f>
        <v>0.69352195222838597</v>
      </c>
      <c r="AA22" s="264">
        <f t="shared" si="4"/>
        <v>2.6357119083938174E-2</v>
      </c>
      <c r="AB22" s="260">
        <f>report_47_flagged!AR14</f>
        <v>1</v>
      </c>
      <c r="AC22" s="264">
        <f>(report_47_flagged!R14/100)*report_47_flagged!H14</f>
        <v>4.4295954481261948</v>
      </c>
      <c r="AD22" s="264">
        <f t="shared" si="5"/>
        <v>0.12405714525009651</v>
      </c>
      <c r="AE22" s="260">
        <f>report_47_flagged!AT14</f>
        <v>1</v>
      </c>
      <c r="AF22" s="264">
        <f>(report_47_flagged!L14/100)*report_47_flagged!H14</f>
        <v>5.0640153480569037</v>
      </c>
      <c r="AG22" s="264">
        <f t="shared" si="6"/>
        <v>9.6264254540788921E-2</v>
      </c>
      <c r="AH22" s="260">
        <f>report_47_flagged!AV14</f>
        <v>1</v>
      </c>
      <c r="AI22" s="264">
        <f>(report_47_flagged!T14/100)*report_47_flagged!H14</f>
        <v>2.8752837355565086</v>
      </c>
      <c r="AJ22" s="264">
        <f t="shared" si="7"/>
        <v>0.14089946491316224</v>
      </c>
      <c r="AK22" s="260">
        <f>report_47_flagged!AX14</f>
        <v>1</v>
      </c>
    </row>
    <row r="23" spans="1:37" ht="15.5">
      <c r="A23" s="59">
        <v>2021</v>
      </c>
      <c r="B23" s="59" t="str">
        <f>LEFT(report_47_flagged!B15,2)</f>
        <v>47</v>
      </c>
      <c r="C23" s="59">
        <f>report_47_flagged!E15</f>
        <v>1000</v>
      </c>
      <c r="D23" s="260">
        <f>report_47_flagged!AM15</f>
        <v>1201.9000000000001</v>
      </c>
      <c r="E23" s="59" t="str">
        <f>report_47_flagged!D15</f>
        <v>McLane-PARFLUX-Mark78H-21 ; frame# 2241, controller# 11640-01 and Motor # 11640-01 Cup set Dx21</v>
      </c>
      <c r="H23" s="59">
        <f>report_47_flagged!C15</f>
        <v>10</v>
      </c>
      <c r="I23" s="59">
        <f>report_47_flagged!F15</f>
        <v>1</v>
      </c>
      <c r="J23" s="66">
        <f>report_47_flagged!AC15</f>
        <v>44468</v>
      </c>
      <c r="K23" s="66">
        <f>report_47_flagged!AD15</f>
        <v>44485</v>
      </c>
      <c r="L23" s="66">
        <f>report_47_flagged!AE15</f>
        <v>44476.5</v>
      </c>
      <c r="M23" s="260">
        <f>report_47_flagged!AF15</f>
        <v>17</v>
      </c>
      <c r="N23" s="261">
        <f>report_47_flagged!H15</f>
        <v>52.033613445378158</v>
      </c>
      <c r="O23" s="261">
        <f t="shared" si="0"/>
        <v>3.1220168067226894E-2</v>
      </c>
      <c r="P23" s="261">
        <f>report_47_flagged!J15</f>
        <v>1</v>
      </c>
      <c r="Q23" s="262">
        <f>report_47_flagged!BA15</f>
        <v>39.39</v>
      </c>
      <c r="R23" s="262">
        <f t="shared" si="1"/>
        <v>0.86658000000000002</v>
      </c>
      <c r="S23" s="263">
        <f>report_47_flagged!BB15</f>
        <v>3</v>
      </c>
      <c r="T23" s="262">
        <f>report_47_flagged!BC15</f>
        <v>8.39</v>
      </c>
      <c r="U23" s="262">
        <f t="shared" si="2"/>
        <v>0.24331000000000003</v>
      </c>
      <c r="V23" s="263">
        <f>report_47_flagged!BD15</f>
        <v>3</v>
      </c>
      <c r="W23" s="264">
        <f>(report_47_flagged!N15/100)*report_47_flagged!H15</f>
        <v>7.8646795795344513</v>
      </c>
      <c r="X23" s="264">
        <f t="shared" si="3"/>
        <v>0.16522566895763205</v>
      </c>
      <c r="Y23" s="260">
        <f>report_47_flagged!AP15</f>
        <v>1</v>
      </c>
      <c r="Z23" s="264">
        <f>(report_47_flagged!P15/100)*report_47_flagged!H15</f>
        <v>0.6120730951453458</v>
      </c>
      <c r="AA23" s="264">
        <f t="shared" si="4"/>
        <v>2.3261676728450347E-2</v>
      </c>
      <c r="AB23" s="260">
        <f>report_47_flagged!AR15</f>
        <v>1</v>
      </c>
      <c r="AC23" s="264">
        <f>(report_47_flagged!R15/100)*report_47_flagged!H15</f>
        <v>3.8228750462717316</v>
      </c>
      <c r="AD23" s="264">
        <f t="shared" si="5"/>
        <v>0.10706507410037201</v>
      </c>
      <c r="AE23" s="260">
        <f>report_47_flagged!AT15</f>
        <v>1</v>
      </c>
      <c r="AF23" s="264">
        <f>(report_47_flagged!L15/100)*report_47_flagged!H15</f>
        <v>4.0418045332627193</v>
      </c>
      <c r="AG23" s="264">
        <f t="shared" si="6"/>
        <v>7.6832567370359581E-2</v>
      </c>
      <c r="AH23" s="260">
        <f>report_47_flagged!AV15</f>
        <v>1</v>
      </c>
      <c r="AI23" s="264">
        <f>(report_47_flagged!T15/100)*report_47_flagged!H15</f>
        <v>2.3076971873666108</v>
      </c>
      <c r="AJ23" s="264">
        <f t="shared" si="7"/>
        <v>0.11308563911819709</v>
      </c>
      <c r="AK23" s="260">
        <f>report_47_flagged!AX15</f>
        <v>1</v>
      </c>
    </row>
    <row r="24" spans="1:37" ht="15.5">
      <c r="A24" s="59">
        <v>2021</v>
      </c>
      <c r="B24" s="59" t="str">
        <f>LEFT(report_47_flagged!B16,2)</f>
        <v>47</v>
      </c>
      <c r="C24" s="59">
        <f>report_47_flagged!E16</f>
        <v>1000</v>
      </c>
      <c r="D24" s="260">
        <f>report_47_flagged!AM16</f>
        <v>1201.9000000000001</v>
      </c>
      <c r="E24" s="59" t="str">
        <f>report_47_flagged!D16</f>
        <v>McLane-PARFLUX-Mark78H-21 ; frame# 2241, controller# 11640-01 and Motor # 11640-01 Cup set Dx21</v>
      </c>
      <c r="H24" s="59">
        <f>report_47_flagged!C16</f>
        <v>11</v>
      </c>
      <c r="I24" s="59">
        <f>report_47_flagged!F16</f>
        <v>1</v>
      </c>
      <c r="J24" s="66">
        <f>report_47_flagged!AC16</f>
        <v>44485</v>
      </c>
      <c r="K24" s="66">
        <f>report_47_flagged!AD16</f>
        <v>44502</v>
      </c>
      <c r="L24" s="66">
        <f>report_47_flagged!AE16</f>
        <v>44493.5</v>
      </c>
      <c r="M24" s="260">
        <f>report_47_flagged!AF16</f>
        <v>17</v>
      </c>
      <c r="N24" s="261">
        <f>report_47_flagged!H16</f>
        <v>83.507563025210075</v>
      </c>
      <c r="O24" s="261">
        <f t="shared" si="0"/>
        <v>5.0104537815126041E-2</v>
      </c>
      <c r="P24" s="261">
        <f>report_47_flagged!J16</f>
        <v>1</v>
      </c>
      <c r="Q24" s="262">
        <f>report_47_flagged!BA16</f>
        <v>39.54</v>
      </c>
      <c r="R24" s="262">
        <f t="shared" si="1"/>
        <v>0.86987999999999988</v>
      </c>
      <c r="S24" s="263">
        <f>report_47_flagged!BB16</f>
        <v>3</v>
      </c>
      <c r="T24" s="262">
        <f>report_47_flagged!BC16</f>
        <v>8.2899999999999991</v>
      </c>
      <c r="U24" s="262">
        <f t="shared" si="2"/>
        <v>0.24040999999999998</v>
      </c>
      <c r="V24" s="263">
        <f>report_47_flagged!BD16</f>
        <v>3</v>
      </c>
      <c r="W24" s="264">
        <f>(report_47_flagged!N16/100)*report_47_flagged!H16</f>
        <v>12.287389419812113</v>
      </c>
      <c r="X24" s="264">
        <f t="shared" si="3"/>
        <v>0.25814047681158853</v>
      </c>
      <c r="Y24" s="260">
        <f>report_47_flagged!AP16</f>
        <v>1</v>
      </c>
      <c r="Z24" s="264">
        <f>(report_47_flagged!P16/100)*report_47_flagged!H16</f>
        <v>0.75613136305328166</v>
      </c>
      <c r="AA24" s="264">
        <f t="shared" si="4"/>
        <v>2.873657324769556E-2</v>
      </c>
      <c r="AB24" s="260">
        <f>report_47_flagged!AR16</f>
        <v>1</v>
      </c>
      <c r="AC24" s="264">
        <f>(report_47_flagged!R16/100)*report_47_flagged!H16</f>
        <v>5.2302430626521064</v>
      </c>
      <c r="AD24" s="264">
        <f t="shared" si="5"/>
        <v>0.14648042488647983</v>
      </c>
      <c r="AE24" s="260">
        <f>report_47_flagged!AT16</f>
        <v>1</v>
      </c>
      <c r="AF24" s="264">
        <f>(report_47_flagged!L16/100)*report_47_flagged!H16</f>
        <v>7.0571463571600059</v>
      </c>
      <c r="AG24" s="264">
        <f t="shared" si="6"/>
        <v>0.13415262130236702</v>
      </c>
      <c r="AH24" s="260">
        <f>report_47_flagged!AV16</f>
        <v>1</v>
      </c>
      <c r="AI24" s="264">
        <f>(report_47_flagged!T16/100)*report_47_flagged!H16</f>
        <v>3.3722369090459252</v>
      </c>
      <c r="AJ24" s="264">
        <f t="shared" si="7"/>
        <v>0.16525199588798944</v>
      </c>
      <c r="AK24" s="260">
        <f>report_47_flagged!AX16</f>
        <v>1</v>
      </c>
    </row>
    <row r="25" spans="1:37" ht="15.5">
      <c r="A25" s="59">
        <v>2021</v>
      </c>
      <c r="B25" s="59" t="str">
        <f>LEFT(report_47_flagged!B17,2)</f>
        <v>47</v>
      </c>
      <c r="C25" s="59">
        <f>report_47_flagged!E17</f>
        <v>1000</v>
      </c>
      <c r="D25" s="260">
        <f>report_47_flagged!AM17</f>
        <v>1201.9000000000001</v>
      </c>
      <c r="E25" s="59" t="str">
        <f>report_47_flagged!D17</f>
        <v>McLane-PARFLUX-Mark78H-21 ; frame# 2241, controller# 11640-01 and Motor # 11640-01 Cup set Dx21</v>
      </c>
      <c r="H25" s="59">
        <f>report_47_flagged!C17</f>
        <v>12</v>
      </c>
      <c r="I25" s="59">
        <f>report_47_flagged!F17</f>
        <v>1</v>
      </c>
      <c r="J25" s="66">
        <f>report_47_flagged!AC17</f>
        <v>44502</v>
      </c>
      <c r="K25" s="66">
        <f>report_47_flagged!AD17</f>
        <v>44519</v>
      </c>
      <c r="L25" s="66">
        <f>report_47_flagged!AE17</f>
        <v>44510.5</v>
      </c>
      <c r="M25" s="260">
        <f>report_47_flagged!AF17</f>
        <v>17</v>
      </c>
      <c r="N25" s="261">
        <f>report_47_flagged!H17</f>
        <v>100.72605042016806</v>
      </c>
      <c r="O25" s="261">
        <f t="shared" si="0"/>
        <v>6.043563025210083E-2</v>
      </c>
      <c r="P25" s="261">
        <f>report_47_flagged!J17</f>
        <v>1</v>
      </c>
      <c r="Q25" s="262">
        <f>report_47_flagged!BA17</f>
        <v>39.56</v>
      </c>
      <c r="R25" s="262">
        <f t="shared" si="1"/>
        <v>0.87031999999999998</v>
      </c>
      <c r="S25" s="263">
        <f>report_47_flagged!BB17</f>
        <v>3</v>
      </c>
      <c r="T25" s="262">
        <f>report_47_flagged!BC17</f>
        <v>8.27</v>
      </c>
      <c r="U25" s="262">
        <f t="shared" si="2"/>
        <v>0.23982999999999999</v>
      </c>
      <c r="V25" s="263">
        <f>report_47_flagged!BD17</f>
        <v>3</v>
      </c>
      <c r="W25" s="264">
        <f>(report_47_flagged!N17/100)*report_47_flagged!H17</f>
        <v>14.798820612418551</v>
      </c>
      <c r="X25" s="264">
        <f t="shared" si="3"/>
        <v>0.31090205401802129</v>
      </c>
      <c r="Y25" s="260">
        <f>report_47_flagged!AP17</f>
        <v>1</v>
      </c>
      <c r="Z25" s="264">
        <f>(report_47_flagged!P17/100)*report_47_flagged!H17</f>
        <v>0.92725453882457831</v>
      </c>
      <c r="AA25" s="264">
        <f t="shared" si="4"/>
        <v>3.524006445995418E-2</v>
      </c>
      <c r="AB25" s="260">
        <f>report_47_flagged!AR17</f>
        <v>1</v>
      </c>
      <c r="AC25" s="264">
        <f>(report_47_flagged!R17/100)*report_47_flagged!H17</f>
        <v>6.3159053232613829</v>
      </c>
      <c r="AD25" s="264">
        <f t="shared" si="5"/>
        <v>0.17688594663992283</v>
      </c>
      <c r="AE25" s="260">
        <f>report_47_flagged!AT17</f>
        <v>1</v>
      </c>
      <c r="AF25" s="264">
        <f>(report_47_flagged!L17/100)*report_47_flagged!H17</f>
        <v>8.4829152891571677</v>
      </c>
      <c r="AG25" s="264">
        <f t="shared" si="6"/>
        <v>0.16125573492914297</v>
      </c>
      <c r="AH25" s="260">
        <f>report_47_flagged!AV17</f>
        <v>1</v>
      </c>
      <c r="AI25" s="264">
        <f>(report_47_flagged!T17/100)*report_47_flagged!H17</f>
        <v>4.1324794328375871</v>
      </c>
      <c r="AJ25" s="264">
        <f t="shared" si="7"/>
        <v>0.20250667217674345</v>
      </c>
      <c r="AK25" s="260">
        <f>report_47_flagged!AX17</f>
        <v>1</v>
      </c>
    </row>
    <row r="26" spans="1:37" ht="15.5">
      <c r="A26" s="59">
        <v>2021</v>
      </c>
      <c r="B26" s="59" t="str">
        <f>LEFT(report_47_flagged!B18,2)</f>
        <v>47</v>
      </c>
      <c r="C26" s="59">
        <f>report_47_flagged!E18</f>
        <v>1000</v>
      </c>
      <c r="D26" s="260">
        <f>report_47_flagged!AM18</f>
        <v>1201.9000000000001</v>
      </c>
      <c r="E26" s="59" t="str">
        <f>report_47_flagged!D18</f>
        <v>McLane-PARFLUX-Mark78H-21 ; frame# 2241, controller# 11640-01 and Motor # 11640-01 Cup set Dx21</v>
      </c>
      <c r="H26" s="59">
        <f>report_47_flagged!C18</f>
        <v>13</v>
      </c>
      <c r="I26" s="59">
        <f>report_47_flagged!F18</f>
        <v>1</v>
      </c>
      <c r="J26" s="66">
        <f>report_47_flagged!AC18</f>
        <v>44519</v>
      </c>
      <c r="K26" s="66">
        <f>report_47_flagged!AD18</f>
        <v>44536</v>
      </c>
      <c r="L26" s="66">
        <f>report_47_flagged!AE18</f>
        <v>44527.5</v>
      </c>
      <c r="M26" s="260">
        <f>report_47_flagged!AF18</f>
        <v>17</v>
      </c>
      <c r="N26" s="261">
        <f>report_47_flagged!H18</f>
        <v>112.11428571428571</v>
      </c>
      <c r="O26" s="261">
        <f t="shared" si="0"/>
        <v>6.7268571428571428E-2</v>
      </c>
      <c r="P26" s="261">
        <f>report_47_flagged!J18</f>
        <v>1</v>
      </c>
      <c r="Q26" s="262">
        <f>report_47_flagged!BA18</f>
        <v>39.83</v>
      </c>
      <c r="R26" s="262">
        <f t="shared" si="1"/>
        <v>0.87625999999999993</v>
      </c>
      <c r="S26" s="263">
        <f>report_47_flagged!BB18</f>
        <v>3</v>
      </c>
      <c r="T26" s="262">
        <f>report_47_flagged!BC18</f>
        <v>8.2799999999999994</v>
      </c>
      <c r="U26" s="262">
        <f t="shared" si="2"/>
        <v>0.24012</v>
      </c>
      <c r="V26" s="263">
        <f>report_47_flagged!BD18</f>
        <v>3</v>
      </c>
      <c r="W26" s="264">
        <f>(report_47_flagged!N18/100)*report_47_flagged!H18</f>
        <v>15.581725492204937</v>
      </c>
      <c r="X26" s="264">
        <f t="shared" si="3"/>
        <v>0.32734976573783653</v>
      </c>
      <c r="Y26" s="260">
        <f>report_47_flagged!AP18</f>
        <v>1</v>
      </c>
      <c r="Z26" s="264">
        <f>(report_47_flagged!P18/100)*report_47_flagged!H18</f>
        <v>0.8449703082357134</v>
      </c>
      <c r="AA26" s="264">
        <f t="shared" si="4"/>
        <v>3.2112873954459213E-2</v>
      </c>
      <c r="AB26" s="260">
        <f>report_47_flagged!AR18</f>
        <v>1</v>
      </c>
      <c r="AC26" s="264">
        <f>(report_47_flagged!R18/100)*report_47_flagged!H18</f>
        <v>6.0511978168802836</v>
      </c>
      <c r="AD26" s="264">
        <f t="shared" si="5"/>
        <v>0.16947243496544195</v>
      </c>
      <c r="AE26" s="260">
        <f>report_47_flagged!AT18</f>
        <v>1</v>
      </c>
      <c r="AF26" s="264">
        <f>(report_47_flagged!L18/100)*report_47_flagged!H18</f>
        <v>9.5305276753246542</v>
      </c>
      <c r="AG26" s="264">
        <f t="shared" si="6"/>
        <v>0.18117029254216563</v>
      </c>
      <c r="AH26" s="260">
        <f>report_47_flagged!AV18</f>
        <v>1</v>
      </c>
      <c r="AI26" s="264">
        <f>(report_47_flagged!T18/100)*report_47_flagged!H18</f>
        <v>5.5074710447031467</v>
      </c>
      <c r="AJ26" s="264">
        <f t="shared" si="7"/>
        <v>0.26988631195843149</v>
      </c>
      <c r="AK26" s="260">
        <f>report_47_flagged!AX18</f>
        <v>1</v>
      </c>
    </row>
    <row r="27" spans="1:37" ht="15.5">
      <c r="A27" s="59">
        <v>2021</v>
      </c>
      <c r="B27" s="59" t="str">
        <f>LEFT(report_47_flagged!B19,2)</f>
        <v>47</v>
      </c>
      <c r="C27" s="59">
        <f>report_47_flagged!E19</f>
        <v>1000</v>
      </c>
      <c r="D27" s="260">
        <f>report_47_flagged!AM19</f>
        <v>1201.9000000000001</v>
      </c>
      <c r="E27" s="59" t="str">
        <f>report_47_flagged!D19</f>
        <v>McLane-PARFLUX-Mark78H-21 ; frame# 2241, controller# 11640-01 and Motor # 11640-01 Cup set Dx21</v>
      </c>
      <c r="H27" s="59">
        <f>report_47_flagged!C19</f>
        <v>14</v>
      </c>
      <c r="I27" s="59">
        <f>report_47_flagged!F19</f>
        <v>1</v>
      </c>
      <c r="J27" s="66">
        <f>report_47_flagged!AC19</f>
        <v>44536</v>
      </c>
      <c r="K27" s="66">
        <f>report_47_flagged!AD19</f>
        <v>44553</v>
      </c>
      <c r="L27" s="66">
        <f>report_47_flagged!AE19</f>
        <v>44544.5</v>
      </c>
      <c r="M27" s="260">
        <f>report_47_flagged!AF19</f>
        <v>17</v>
      </c>
      <c r="N27" s="261">
        <f>report_47_flagged!H19</f>
        <v>94.092436974789905</v>
      </c>
      <c r="O27" s="261">
        <f t="shared" si="0"/>
        <v>5.645546218487394E-2</v>
      </c>
      <c r="P27" s="261">
        <f>report_47_flagged!J19</f>
        <v>1</v>
      </c>
      <c r="Q27" s="262">
        <f>report_47_flagged!BA19</f>
        <v>39.880000000000003</v>
      </c>
      <c r="R27" s="262">
        <f t="shared" si="1"/>
        <v>0.87736000000000003</v>
      </c>
      <c r="S27" s="263">
        <f>report_47_flagged!BB19</f>
        <v>3</v>
      </c>
      <c r="T27" s="262">
        <f>report_47_flagged!BC19</f>
        <v>8.25</v>
      </c>
      <c r="U27" s="262">
        <f t="shared" si="2"/>
        <v>0.23925000000000002</v>
      </c>
      <c r="V27" s="263">
        <f>report_47_flagged!BD19</f>
        <v>3</v>
      </c>
      <c r="W27" s="264">
        <f>(report_47_flagged!N19/100)*report_47_flagged!H19</f>
        <v>11.833513742655265</v>
      </c>
      <c r="X27" s="264">
        <f t="shared" si="3"/>
        <v>0.24860519802197539</v>
      </c>
      <c r="Y27" s="260">
        <f>report_47_flagged!AP19</f>
        <v>1</v>
      </c>
      <c r="Z27" s="264">
        <f>(report_47_flagged!P19/100)*report_47_flagged!H19</f>
        <v>0.5981810547524139</v>
      </c>
      <c r="AA27" s="264">
        <f t="shared" si="4"/>
        <v>2.2733713393217947E-2</v>
      </c>
      <c r="AB27" s="260">
        <f>report_47_flagged!AR19</f>
        <v>1</v>
      </c>
      <c r="AC27" s="264">
        <f>(report_47_flagged!R19/100)*report_47_flagged!H19</f>
        <v>4.2261739189914724</v>
      </c>
      <c r="AD27" s="264">
        <f t="shared" si="5"/>
        <v>0.11836003487457943</v>
      </c>
      <c r="AE27" s="260">
        <f>report_47_flagged!AT19</f>
        <v>1</v>
      </c>
      <c r="AF27" s="264">
        <f>(report_47_flagged!L19/100)*report_47_flagged!H19</f>
        <v>7.607339823663791</v>
      </c>
      <c r="AG27" s="264">
        <f t="shared" si="6"/>
        <v>0.1446115082262627</v>
      </c>
      <c r="AH27" s="260">
        <f>report_47_flagged!AV19</f>
        <v>1</v>
      </c>
      <c r="AI27" s="264">
        <f>(report_47_flagged!T19/100)*report_47_flagged!H19</f>
        <v>7.38304189556621</v>
      </c>
      <c r="AJ27" s="264">
        <f t="shared" si="7"/>
        <v>0.3617961732445843</v>
      </c>
      <c r="AK27" s="260">
        <f>report_47_flagged!AX19</f>
        <v>1</v>
      </c>
    </row>
    <row r="28" spans="1:37" ht="15.5">
      <c r="A28" s="59">
        <v>2021</v>
      </c>
      <c r="B28" s="59" t="str">
        <f>LEFT(report_47_flagged!B20,2)</f>
        <v>47</v>
      </c>
      <c r="C28" s="59">
        <f>report_47_flagged!E20</f>
        <v>1000</v>
      </c>
      <c r="D28" s="260">
        <f>report_47_flagged!AM20</f>
        <v>1201.9000000000001</v>
      </c>
      <c r="E28" s="59" t="str">
        <f>report_47_flagged!D20</f>
        <v>McLane-PARFLUX-Mark78H-21 ; frame# 2241, controller# 11640-01 and Motor # 11640-01 Cup set Dx21</v>
      </c>
      <c r="H28" s="59">
        <f>report_47_flagged!C20</f>
        <v>15</v>
      </c>
      <c r="I28" s="59">
        <f>report_47_flagged!F20</f>
        <v>1</v>
      </c>
      <c r="J28" s="66">
        <f>report_47_flagged!AC20</f>
        <v>44553</v>
      </c>
      <c r="K28" s="66">
        <f>report_47_flagged!AD20</f>
        <v>44570</v>
      </c>
      <c r="L28" s="66">
        <f>report_47_flagged!AE20</f>
        <v>44561.5</v>
      </c>
      <c r="M28" s="260">
        <f>report_47_flagged!AF20</f>
        <v>17</v>
      </c>
      <c r="N28" s="261">
        <f>report_47_flagged!H20</f>
        <v>120.07563025210084</v>
      </c>
      <c r="O28" s="261">
        <f t="shared" si="0"/>
        <v>7.2045378151260497E-2</v>
      </c>
      <c r="P28" s="261">
        <f>report_47_flagged!J20</f>
        <v>1</v>
      </c>
      <c r="Q28" s="262">
        <f>report_47_flagged!BA20</f>
        <v>39.67</v>
      </c>
      <c r="R28" s="262">
        <f t="shared" si="1"/>
        <v>0.87273999999999996</v>
      </c>
      <c r="S28" s="263">
        <f>report_47_flagged!BB20</f>
        <v>3</v>
      </c>
      <c r="T28" s="262">
        <f>report_47_flagged!BC20</f>
        <v>8.17</v>
      </c>
      <c r="U28" s="262">
        <f t="shared" si="2"/>
        <v>0.23693</v>
      </c>
      <c r="V28" s="263">
        <f>report_47_flagged!BD20</f>
        <v>3</v>
      </c>
      <c r="W28" s="264">
        <f>(report_47_flagged!N20/100)*report_47_flagged!H20</f>
        <v>14.702041223029127</v>
      </c>
      <c r="X28" s="264">
        <f t="shared" si="3"/>
        <v>0.30886885747244441</v>
      </c>
      <c r="Y28" s="260">
        <f>report_47_flagged!AP20</f>
        <v>1</v>
      </c>
      <c r="Z28" s="264">
        <f>(report_47_flagged!P20/100)*report_47_flagged!H20</f>
        <v>0.96226714160262028</v>
      </c>
      <c r="AA28" s="264">
        <f t="shared" si="4"/>
        <v>3.6570709204355255E-2</v>
      </c>
      <c r="AB28" s="260">
        <f>report_47_flagged!AR20</f>
        <v>1</v>
      </c>
      <c r="AC28" s="264">
        <f>(report_47_flagged!R20/100)*report_47_flagged!H20</f>
        <v>6.588093650047365</v>
      </c>
      <c r="AD28" s="264">
        <f t="shared" si="5"/>
        <v>0.18450896937120936</v>
      </c>
      <c r="AE28" s="260">
        <f>report_47_flagged!AT20</f>
        <v>1</v>
      </c>
      <c r="AF28" s="264">
        <f>(report_47_flagged!L20/100)*report_47_flagged!H20</f>
        <v>8.1139475729817629</v>
      </c>
      <c r="AG28" s="264">
        <f t="shared" si="6"/>
        <v>0.15424185370919932</v>
      </c>
      <c r="AH28" s="260">
        <f>report_47_flagged!AV20</f>
        <v>1</v>
      </c>
      <c r="AI28" s="264">
        <f>(report_47_flagged!T20/100)*report_47_flagged!H20</f>
        <v>13.483794226797052</v>
      </c>
      <c r="AJ28" s="264">
        <f t="shared" si="7"/>
        <v>0.66075544756182991</v>
      </c>
      <c r="AK28" s="260">
        <f>report_47_flagged!AX20</f>
        <v>1</v>
      </c>
    </row>
    <row r="29" spans="1:37" ht="15.5">
      <c r="A29" s="59">
        <v>2021</v>
      </c>
      <c r="B29" s="59" t="str">
        <f>LEFT(report_47_flagged!B21,2)</f>
        <v>47</v>
      </c>
      <c r="C29" s="59">
        <f>report_47_flagged!E21</f>
        <v>1000</v>
      </c>
      <c r="D29" s="260">
        <f>report_47_flagged!AM21</f>
        <v>1201.9000000000001</v>
      </c>
      <c r="E29" s="59" t="str">
        <f>report_47_flagged!D21</f>
        <v>McLane-PARFLUX-Mark78H-21 ; frame# 2241, controller# 11640-01 and Motor # 11640-01 Cup set Dx21</v>
      </c>
      <c r="H29" s="59">
        <f>report_47_flagged!C21</f>
        <v>16</v>
      </c>
      <c r="I29" s="59">
        <f>report_47_flagged!F21</f>
        <v>1</v>
      </c>
      <c r="J29" s="66">
        <f>report_47_flagged!AC21</f>
        <v>44570</v>
      </c>
      <c r="K29" s="66">
        <f>report_47_flagged!AD21</f>
        <v>44587</v>
      </c>
      <c r="L29" s="66">
        <f>report_47_flagged!AE21</f>
        <v>44578.5</v>
      </c>
      <c r="M29" s="260">
        <f>report_47_flagged!AF21</f>
        <v>17</v>
      </c>
      <c r="N29" s="261">
        <f>report_47_flagged!H21</f>
        <v>219.54285714285717</v>
      </c>
      <c r="O29" s="261">
        <f t="shared" si="0"/>
        <v>0.13172571428571428</v>
      </c>
      <c r="P29" s="261">
        <f>report_47_flagged!J21</f>
        <v>3</v>
      </c>
      <c r="Q29" s="262">
        <f>report_47_flagged!BA21</f>
        <v>38.92</v>
      </c>
      <c r="R29" s="262">
        <f t="shared" si="1"/>
        <v>0.85624</v>
      </c>
      <c r="S29" s="263">
        <f>report_47_flagged!BB21</f>
        <v>3</v>
      </c>
      <c r="T29" s="262">
        <f>report_47_flagged!BC21</f>
        <v>8.14</v>
      </c>
      <c r="U29" s="262">
        <f t="shared" si="2"/>
        <v>0.23606000000000002</v>
      </c>
      <c r="V29" s="263">
        <f>report_47_flagged!BD21</f>
        <v>3</v>
      </c>
      <c r="W29" s="264">
        <f>(report_47_flagged!N21/100)*report_47_flagged!H21</f>
        <v>31.086625463213245</v>
      </c>
      <c r="X29" s="264">
        <f t="shared" si="3"/>
        <v>0.65308553716041029</v>
      </c>
      <c r="Y29" s="260">
        <f>report_47_flagged!AP21</f>
        <v>3</v>
      </c>
      <c r="Z29" s="264">
        <f>(report_47_flagged!P21/100)*report_47_flagged!H21</f>
        <v>3.0378583805220472</v>
      </c>
      <c r="AA29" s="264">
        <f t="shared" si="4"/>
        <v>0.1154530074185616</v>
      </c>
      <c r="AB29" s="260">
        <f>report_47_flagged!AR21</f>
        <v>3</v>
      </c>
      <c r="AC29" s="264">
        <f>(report_47_flagged!R21/100)*report_47_flagged!H21</f>
        <v>21.192486845543311</v>
      </c>
      <c r="AD29" s="264">
        <f t="shared" si="5"/>
        <v>0.59352585345473885</v>
      </c>
      <c r="AE29" s="260">
        <f>report_47_flagged!AT21</f>
        <v>3</v>
      </c>
      <c r="AF29" s="264">
        <f>(report_47_flagged!L21/100)*report_47_flagged!H21</f>
        <v>9.8941386176699346</v>
      </c>
      <c r="AG29" s="264">
        <f t="shared" si="6"/>
        <v>0.18808234432359891</v>
      </c>
      <c r="AH29" s="260">
        <f>report_47_flagged!AV21</f>
        <v>3</v>
      </c>
      <c r="AI29" s="264">
        <f>(report_47_flagged!T21/100)*report_47_flagged!H21</f>
        <v>32.768820170085512</v>
      </c>
      <c r="AJ29" s="264">
        <f t="shared" si="7"/>
        <v>1.6057925590801041</v>
      </c>
      <c r="AK29" s="260">
        <f>report_47_flagged!AX21</f>
        <v>3</v>
      </c>
    </row>
    <row r="30" spans="1:37" ht="15.5">
      <c r="A30" s="59">
        <v>2021</v>
      </c>
      <c r="B30" s="59" t="str">
        <f>LEFT(report_47_flagged!B22,2)</f>
        <v>47</v>
      </c>
      <c r="C30" s="59">
        <f>report_47_flagged!E22</f>
        <v>1000</v>
      </c>
      <c r="D30" s="260">
        <f>report_47_flagged!AM22</f>
        <v>1201.9000000000001</v>
      </c>
      <c r="E30" s="59" t="str">
        <f>report_47_flagged!D22</f>
        <v>McLane-PARFLUX-Mark78H-21 ; frame# 2241, controller# 11640-01 and Motor # 11640-01 Cup set Dx21</v>
      </c>
      <c r="H30" s="59">
        <f>report_47_flagged!C22</f>
        <v>17</v>
      </c>
      <c r="I30" s="59">
        <f>report_47_flagged!F22</f>
        <v>1</v>
      </c>
      <c r="J30" s="66">
        <f>report_47_flagged!AC22</f>
        <v>44587</v>
      </c>
      <c r="K30" s="66">
        <f>report_47_flagged!AD22</f>
        <v>44604</v>
      </c>
      <c r="L30" s="66">
        <f>report_47_flagged!AE22</f>
        <v>44595.5</v>
      </c>
      <c r="M30" s="260">
        <f>report_47_flagged!AF22</f>
        <v>17</v>
      </c>
      <c r="N30" s="261">
        <f>report_47_flagged!H22</f>
        <v>73.226890756302524</v>
      </c>
      <c r="O30" s="261">
        <f t="shared" si="0"/>
        <v>4.3936134453781507E-2</v>
      </c>
      <c r="P30" s="261">
        <f>report_47_flagged!J22</f>
        <v>1</v>
      </c>
      <c r="Q30" s="262">
        <f>report_47_flagged!BA22</f>
        <v>39.07</v>
      </c>
      <c r="R30" s="262">
        <f t="shared" si="1"/>
        <v>0.85953999999999997</v>
      </c>
      <c r="S30" s="263">
        <f>report_47_flagged!BB22</f>
        <v>3</v>
      </c>
      <c r="T30" s="262">
        <f>report_47_flagged!BC22</f>
        <v>8.19</v>
      </c>
      <c r="U30" s="262">
        <f t="shared" si="2"/>
        <v>0.23751</v>
      </c>
      <c r="V30" s="263">
        <f>report_47_flagged!BD22</f>
        <v>3</v>
      </c>
      <c r="W30" s="264">
        <f>(report_47_flagged!N22/100)*report_47_flagged!H22</f>
        <v>10.973135923337537</v>
      </c>
      <c r="X30" s="264">
        <f t="shared" si="3"/>
        <v>0.23052989065370047</v>
      </c>
      <c r="Y30" s="260">
        <f>report_47_flagged!AP22</f>
        <v>1</v>
      </c>
      <c r="Z30" s="264">
        <f>(report_47_flagged!P22/100)*report_47_flagged!H22</f>
        <v>1.1410684640868372</v>
      </c>
      <c r="AA30" s="264">
        <f t="shared" si="4"/>
        <v>4.3366006359606926E-2</v>
      </c>
      <c r="AB30" s="260">
        <f>report_47_flagged!AR22</f>
        <v>1</v>
      </c>
      <c r="AC30" s="264">
        <f>(report_47_flagged!R22/100)*report_47_flagged!H22</f>
        <v>7.2280604132471424</v>
      </c>
      <c r="AD30" s="264">
        <f t="shared" si="5"/>
        <v>0.20243215234068199</v>
      </c>
      <c r="AE30" s="260">
        <f>report_47_flagged!AT22</f>
        <v>1</v>
      </c>
      <c r="AF30" s="264">
        <f>(report_47_flagged!L22/100)*report_47_flagged!H22</f>
        <v>3.745075510090393</v>
      </c>
      <c r="AG30" s="264">
        <f t="shared" si="6"/>
        <v>7.1191905513507028E-2</v>
      </c>
      <c r="AH30" s="260">
        <f>report_47_flagged!AV22</f>
        <v>1</v>
      </c>
      <c r="AI30" s="264">
        <f>(report_47_flagged!T22/100)*report_47_flagged!H22</f>
        <v>8.1157691129404927</v>
      </c>
      <c r="AJ30" s="264">
        <f t="shared" si="7"/>
        <v>0.39770249844603944</v>
      </c>
      <c r="AK30" s="260">
        <f>report_47_flagged!AX22</f>
        <v>1</v>
      </c>
    </row>
    <row r="31" spans="1:37" ht="15.5">
      <c r="A31" s="59">
        <v>2021</v>
      </c>
      <c r="B31" s="59" t="str">
        <f>LEFT(report_47_flagged!B23,2)</f>
        <v>47</v>
      </c>
      <c r="C31" s="59">
        <f>report_47_flagged!E23</f>
        <v>1000</v>
      </c>
      <c r="D31" s="260">
        <f>report_47_flagged!AM23</f>
        <v>1201.9000000000001</v>
      </c>
      <c r="E31" s="59" t="str">
        <f>report_47_flagged!D23</f>
        <v>McLane-PARFLUX-Mark78H-21 ; frame# 2241, controller# 11640-01 and Motor # 11640-01 Cup set Dx21</v>
      </c>
      <c r="H31" s="59">
        <f>report_47_flagged!C23</f>
        <v>18</v>
      </c>
      <c r="I31" s="59">
        <f>report_47_flagged!F23</f>
        <v>1</v>
      </c>
      <c r="J31" s="66">
        <f>report_47_flagged!AC23</f>
        <v>44604</v>
      </c>
      <c r="K31" s="66">
        <f>report_47_flagged!AD23</f>
        <v>44621</v>
      </c>
      <c r="L31" s="66">
        <f>report_47_flagged!AE23</f>
        <v>44612.5</v>
      </c>
      <c r="M31" s="260">
        <f>report_47_flagged!AF23</f>
        <v>17</v>
      </c>
      <c r="N31" s="261">
        <f>report_47_flagged!H23</f>
        <v>54.771428571428579</v>
      </c>
      <c r="O31" s="261">
        <f t="shared" si="0"/>
        <v>3.2862857142857145E-2</v>
      </c>
      <c r="P31" s="261">
        <f>report_47_flagged!J23</f>
        <v>1</v>
      </c>
      <c r="Q31" s="262">
        <f>report_47_flagged!BA23</f>
        <v>39.54</v>
      </c>
      <c r="R31" s="262">
        <f t="shared" si="1"/>
        <v>0.86987999999999988</v>
      </c>
      <c r="S31" s="263">
        <f>report_47_flagged!BB23</f>
        <v>3</v>
      </c>
      <c r="T31" s="262">
        <f>report_47_flagged!BC23</f>
        <v>8.23</v>
      </c>
      <c r="U31" s="262">
        <f t="shared" si="2"/>
        <v>0.23867000000000002</v>
      </c>
      <c r="V31" s="263">
        <f>report_47_flagged!BD23</f>
        <v>3</v>
      </c>
      <c r="W31" s="264">
        <f>(report_47_flagged!N23/100)*report_47_flagged!H23</f>
        <v>10.349355234963555</v>
      </c>
      <c r="X31" s="264">
        <f t="shared" si="3"/>
        <v>0.21742515059694864</v>
      </c>
      <c r="Y31" s="260">
        <f>report_47_flagged!AP23</f>
        <v>1</v>
      </c>
      <c r="Z31" s="264">
        <f>(report_47_flagged!P23/100)*report_47_flagged!H23</f>
        <v>1.0473995080334801</v>
      </c>
      <c r="AA31" s="264">
        <f t="shared" si="4"/>
        <v>3.980614236217505E-2</v>
      </c>
      <c r="AB31" s="260">
        <f>report_47_flagged!AR23</f>
        <v>1</v>
      </c>
      <c r="AC31" s="264">
        <f>(report_47_flagged!R23/100)*report_47_flagged!H23</f>
        <v>7.2114597894511583</v>
      </c>
      <c r="AD31" s="264">
        <f t="shared" si="5"/>
        <v>0.20196722816834661</v>
      </c>
      <c r="AE31" s="260">
        <f>report_47_flagged!AT23</f>
        <v>1</v>
      </c>
      <c r="AF31" s="264">
        <f>(report_47_flagged!L23/100)*report_47_flagged!H23</f>
        <v>3.1378954455123962</v>
      </c>
      <c r="AG31" s="264">
        <f t="shared" si="6"/>
        <v>5.9649733487694256E-2</v>
      </c>
      <c r="AH31" s="260">
        <f>report_47_flagged!AV23</f>
        <v>1</v>
      </c>
      <c r="AI31" s="264">
        <f>(report_47_flagged!T23/100)*report_47_flagged!H23</f>
        <v>4.0594781203723631</v>
      </c>
      <c r="AJ31" s="264">
        <f t="shared" si="7"/>
        <v>0.19892933970791224</v>
      </c>
      <c r="AK31" s="260">
        <f>report_47_flagged!AX23</f>
        <v>1</v>
      </c>
    </row>
    <row r="32" spans="1:37" ht="15.5">
      <c r="A32" s="59">
        <v>2021</v>
      </c>
      <c r="B32" s="59" t="str">
        <f>LEFT(report_47_flagged!B24,2)</f>
        <v>47</v>
      </c>
      <c r="C32" s="59">
        <f>report_47_flagged!E24</f>
        <v>1000</v>
      </c>
      <c r="D32" s="260">
        <f>report_47_flagged!AM24</f>
        <v>1201.9000000000001</v>
      </c>
      <c r="E32" s="59" t="str">
        <f>report_47_flagged!D24</f>
        <v>McLane-PARFLUX-Mark78H-21 ; frame# 2241, controller# 11640-01 and Motor # 11640-01 Cup set Dx21</v>
      </c>
      <c r="H32" s="59">
        <f>report_47_flagged!C24</f>
        <v>19</v>
      </c>
      <c r="I32" s="59">
        <f>report_47_flagged!F24</f>
        <v>1</v>
      </c>
      <c r="J32" s="66">
        <f>report_47_flagged!AC24</f>
        <v>44621</v>
      </c>
      <c r="K32" s="66">
        <f>report_47_flagged!AD24</f>
        <v>44638</v>
      </c>
      <c r="L32" s="66">
        <f>report_47_flagged!AE24</f>
        <v>44629.5</v>
      </c>
      <c r="M32" s="260">
        <f>report_47_flagged!AF24</f>
        <v>17</v>
      </c>
      <c r="N32" s="261">
        <f>report_47_flagged!H24</f>
        <v>22.255462184873952</v>
      </c>
      <c r="O32" s="261">
        <f t="shared" si="0"/>
        <v>1.335327731092437E-2</v>
      </c>
      <c r="P32" s="261">
        <f>report_47_flagged!J24</f>
        <v>1</v>
      </c>
      <c r="Q32" s="262">
        <f>report_47_flagged!BA24</f>
        <v>39.97</v>
      </c>
      <c r="R32" s="262">
        <f t="shared" si="1"/>
        <v>0.8793399999999999</v>
      </c>
      <c r="S32" s="263">
        <f>report_47_flagged!BB24</f>
        <v>3</v>
      </c>
      <c r="T32" s="262">
        <f>report_47_flagged!BC24</f>
        <v>8.42</v>
      </c>
      <c r="U32" s="262">
        <f t="shared" si="2"/>
        <v>0.24418000000000001</v>
      </c>
      <c r="V32" s="263">
        <f>report_47_flagged!BD24</f>
        <v>3</v>
      </c>
      <c r="W32" s="264">
        <f>(report_47_flagged!N24/100)*report_47_flagged!H24</f>
        <v>3.6544500586245245</v>
      </c>
      <c r="X32" s="264">
        <f t="shared" si="3"/>
        <v>7.6774768698744264E-2</v>
      </c>
      <c r="Y32" s="260">
        <f>report_47_flagged!AP24</f>
        <v>1</v>
      </c>
      <c r="Z32" s="264">
        <f>(report_47_flagged!P24/100)*report_47_flagged!H24</f>
        <v>0.34326474725498879</v>
      </c>
      <c r="AA32" s="264">
        <f t="shared" si="4"/>
        <v>1.304568628526733E-2</v>
      </c>
      <c r="AB32" s="260">
        <f>report_47_flagged!AR24</f>
        <v>1</v>
      </c>
      <c r="AC32" s="264">
        <f>(report_47_flagged!R24/100)*report_47_flagged!H24</f>
        <v>2.1572940957761411</v>
      </c>
      <c r="AD32" s="264">
        <f t="shared" si="5"/>
        <v>6.041810140925806E-2</v>
      </c>
      <c r="AE32" s="260">
        <f>report_47_flagged!AT24</f>
        <v>1</v>
      </c>
      <c r="AF32" s="264">
        <f>(report_47_flagged!L24/100)*report_47_flagged!H24</f>
        <v>1.4971559628483837</v>
      </c>
      <c r="AG32" s="264">
        <f t="shared" si="6"/>
        <v>2.8460143342613986E-2</v>
      </c>
      <c r="AH32" s="260">
        <f>report_47_flagged!AV24</f>
        <v>1</v>
      </c>
      <c r="AI32" s="264">
        <f>(report_47_flagged!T24/100)*report_47_flagged!H24</f>
        <v>1.5729054381962513</v>
      </c>
      <c r="AJ32" s="264">
        <f t="shared" si="7"/>
        <v>7.7078144275024102E-2</v>
      </c>
      <c r="AK32" s="260">
        <f>report_47_flagged!AX24</f>
        <v>1</v>
      </c>
    </row>
    <row r="33" spans="1:37" ht="15.5">
      <c r="A33" s="59">
        <v>2021</v>
      </c>
      <c r="B33" s="59" t="str">
        <f>LEFT(report_47_flagged!B25,2)</f>
        <v>47</v>
      </c>
      <c r="C33" s="59">
        <f>report_47_flagged!E25</f>
        <v>1000</v>
      </c>
      <c r="D33" s="260">
        <f>report_47_flagged!AM25</f>
        <v>1201.9000000000001</v>
      </c>
      <c r="E33" s="59" t="str">
        <f>report_47_flagged!D25</f>
        <v>McLane-PARFLUX-Mark78H-21 ; frame# 2241, controller# 11640-01 and Motor # 11640-01 Cup set Dx21</v>
      </c>
      <c r="H33" s="59">
        <f>report_47_flagged!C25</f>
        <v>20</v>
      </c>
      <c r="I33" s="59">
        <f>report_47_flagged!F25</f>
        <v>1</v>
      </c>
      <c r="J33" s="66">
        <f>report_47_flagged!AC25</f>
        <v>44638</v>
      </c>
      <c r="K33" s="66">
        <f>report_47_flagged!AD25</f>
        <v>44655</v>
      </c>
      <c r="L33" s="66">
        <f>report_47_flagged!AE25</f>
        <v>44646.5</v>
      </c>
      <c r="M33" s="260">
        <f>report_47_flagged!AF25</f>
        <v>17</v>
      </c>
      <c r="N33" s="261">
        <f>report_47_flagged!H25</f>
        <v>11.341176470588234</v>
      </c>
      <c r="O33" s="261">
        <f t="shared" si="0"/>
        <v>6.8047058823529401E-3</v>
      </c>
      <c r="P33" s="261">
        <f>report_47_flagged!J25</f>
        <v>1</v>
      </c>
      <c r="Q33" s="262">
        <f>report_47_flagged!BA25</f>
        <v>39.57</v>
      </c>
      <c r="R33" s="262">
        <f t="shared" si="1"/>
        <v>0.87053999999999998</v>
      </c>
      <c r="S33" s="263">
        <f>report_47_flagged!BB25</f>
        <v>3</v>
      </c>
      <c r="T33" s="262">
        <f>report_47_flagged!BC25</f>
        <v>8.49</v>
      </c>
      <c r="U33" s="262">
        <f t="shared" si="2"/>
        <v>0.24621000000000001</v>
      </c>
      <c r="V33" s="263">
        <f>report_47_flagged!BD25</f>
        <v>3</v>
      </c>
      <c r="W33" s="264">
        <f>(report_47_flagged!N25/100)*report_47_flagged!H25</f>
        <v>1.8455986157585589</v>
      </c>
      <c r="X33" s="264">
        <f t="shared" si="3"/>
        <v>3.8773387120500914E-2</v>
      </c>
      <c r="Y33" s="260">
        <f>report_47_flagged!AP25</f>
        <v>1</v>
      </c>
      <c r="Z33" s="264">
        <f>(report_47_flagged!P25/100)*report_47_flagged!H25</f>
        <v>0.17156632731942567</v>
      </c>
      <c r="AA33" s="264">
        <f t="shared" si="4"/>
        <v>6.5203330700956174E-3</v>
      </c>
      <c r="AB33" s="260">
        <f>report_47_flagged!AR25</f>
        <v>1</v>
      </c>
      <c r="AC33" s="264">
        <f>(report_47_flagged!R25/100)*report_47_flagged!H25</f>
        <v>1.0334891430539952</v>
      </c>
      <c r="AD33" s="264">
        <f t="shared" si="5"/>
        <v>2.894433910177583E-2</v>
      </c>
      <c r="AE33" s="260">
        <f>report_47_flagged!AT25</f>
        <v>1</v>
      </c>
      <c r="AF33" s="264">
        <f>(report_47_flagged!L25/100)*report_47_flagged!H25</f>
        <v>0.8121094727045638</v>
      </c>
      <c r="AG33" s="264">
        <f t="shared" si="6"/>
        <v>1.5437771732942137E-2</v>
      </c>
      <c r="AH33" s="260">
        <f>report_47_flagged!AV25</f>
        <v>1</v>
      </c>
      <c r="AI33" s="264">
        <f>(report_47_flagged!T25/100)*report_47_flagged!H25</f>
        <v>0.70741742500108828</v>
      </c>
      <c r="AJ33" s="264">
        <f t="shared" si="7"/>
        <v>3.4666052403905967E-2</v>
      </c>
      <c r="AK33" s="260">
        <f>report_47_flagged!AX25</f>
        <v>1</v>
      </c>
    </row>
    <row r="34" spans="1:37" ht="15.5">
      <c r="A34" s="59">
        <v>2021</v>
      </c>
      <c r="B34" s="59" t="str">
        <f>LEFT(report_47_flagged!B26,2)</f>
        <v>47</v>
      </c>
      <c r="C34" s="59">
        <f>report_47_flagged!E26</f>
        <v>1000</v>
      </c>
      <c r="D34" s="260">
        <f>report_47_flagged!AM26</f>
        <v>1201.9000000000001</v>
      </c>
      <c r="E34" s="59" t="str">
        <f>report_47_flagged!D26</f>
        <v>McLane-PARFLUX-Mark78H-21 ; frame# 2241, controller# 11640-01 and Motor # 11640-01 Cup set Dx21</v>
      </c>
      <c r="H34" s="59">
        <f>report_47_flagged!C26</f>
        <v>21</v>
      </c>
      <c r="I34" s="59">
        <f>report_47_flagged!F26</f>
        <v>1</v>
      </c>
      <c r="J34" s="66">
        <f>report_47_flagged!AC26</f>
        <v>44655</v>
      </c>
      <c r="K34" s="66">
        <f>report_47_flagged!AD26</f>
        <v>44672</v>
      </c>
      <c r="L34" s="66">
        <f>report_47_flagged!AE26</f>
        <v>44663.5</v>
      </c>
      <c r="M34" s="260">
        <f>report_47_flagged!AF26</f>
        <v>17</v>
      </c>
      <c r="N34" s="261">
        <f>report_47_flagged!H26</f>
        <v>24.144537815126046</v>
      </c>
      <c r="O34" s="261">
        <f t="shared" si="0"/>
        <v>1.4486722689075627E-2</v>
      </c>
      <c r="P34" s="261">
        <f>report_47_flagged!J26</f>
        <v>1</v>
      </c>
      <c r="Q34" s="262">
        <f>report_47_flagged!BA26</f>
        <v>39.31</v>
      </c>
      <c r="R34" s="262">
        <f t="shared" si="1"/>
        <v>0.86482000000000003</v>
      </c>
      <c r="S34" s="263">
        <f>report_47_flagged!BB26</f>
        <v>3</v>
      </c>
      <c r="T34" s="262">
        <f>report_47_flagged!BC26</f>
        <v>8.49</v>
      </c>
      <c r="U34" s="262">
        <f t="shared" si="2"/>
        <v>0.24621000000000001</v>
      </c>
      <c r="V34" s="263">
        <f>report_47_flagged!BD26</f>
        <v>3</v>
      </c>
      <c r="W34" s="264">
        <f>(report_47_flagged!N26/100)*report_47_flagged!H26</f>
        <v>4.7743745660861991</v>
      </c>
      <c r="X34" s="264">
        <f t="shared" si="3"/>
        <v>0.10030278075010811</v>
      </c>
      <c r="Y34" s="260">
        <f>report_47_flagged!AP26</f>
        <v>1</v>
      </c>
      <c r="Z34" s="264">
        <f>(report_47_flagged!P26/100)*report_47_flagged!H26</f>
        <v>0.54595794667316078</v>
      </c>
      <c r="AA34" s="264">
        <f t="shared" si="4"/>
        <v>2.0748987929005151E-2</v>
      </c>
      <c r="AB34" s="260">
        <f>report_47_flagged!AR26</f>
        <v>1</v>
      </c>
      <c r="AC34" s="264">
        <f>(report_47_flagged!R26/100)*report_47_flagged!H26</f>
        <v>3.1306118766996542</v>
      </c>
      <c r="AD34" s="264">
        <f t="shared" si="5"/>
        <v>8.7677255599875686E-2</v>
      </c>
      <c r="AE34" s="260">
        <f>report_47_flagged!AT26</f>
        <v>1</v>
      </c>
      <c r="AF34" s="264">
        <f>(report_47_flagged!L26/100)*report_47_flagged!H26</f>
        <v>1.6437626893865449</v>
      </c>
      <c r="AG34" s="264">
        <f t="shared" si="6"/>
        <v>3.1247059706577346E-2</v>
      </c>
      <c r="AH34" s="260">
        <f>report_47_flagged!AV26</f>
        <v>1</v>
      </c>
      <c r="AI34" s="264">
        <f>(report_47_flagged!T26/100)*report_47_flagged!H26</f>
        <v>1.1049028537353913</v>
      </c>
      <c r="AJ34" s="264">
        <f t="shared" si="7"/>
        <v>5.4144298507712608E-2</v>
      </c>
      <c r="AK34" s="260">
        <f>report_47_flagged!AX26</f>
        <v>1</v>
      </c>
    </row>
    <row r="35" spans="1:37" ht="15.5">
      <c r="A35" s="59">
        <v>2021</v>
      </c>
      <c r="B35" s="59" t="str">
        <f>LEFT(report_47_flagged!B27,2)</f>
        <v>47</v>
      </c>
      <c r="C35" s="59">
        <f>report_47_flagged!E27</f>
        <v>2000</v>
      </c>
      <c r="D35" s="260">
        <f>report_47_flagged!AM27</f>
        <v>2207.9</v>
      </c>
      <c r="E35" s="59" t="str">
        <f>report_47_flagged!D27</f>
        <v>McLane-PARFLUX-Mark78H-21 ; frame# 14182, funnel# 874, controller# 11741-01 and Motor # 14182-02 Cup set Ex21</v>
      </c>
      <c r="H35" s="59">
        <f>report_47_flagged!C27</f>
        <v>1</v>
      </c>
      <c r="I35" s="59">
        <f>report_47_flagged!F27</f>
        <v>1</v>
      </c>
      <c r="J35" s="66">
        <f>report_47_flagged!AC27</f>
        <v>44315</v>
      </c>
      <c r="K35" s="66">
        <f>report_47_flagged!AD27</f>
        <v>44332</v>
      </c>
      <c r="L35" s="66">
        <f>report_47_flagged!AE27</f>
        <v>44323.5</v>
      </c>
      <c r="M35" s="260">
        <f>report_47_flagged!AF27</f>
        <v>17</v>
      </c>
      <c r="N35" s="261">
        <f>report_47_flagged!H27</f>
        <v>67.327731092436977</v>
      </c>
      <c r="O35" s="261">
        <f t="shared" si="0"/>
        <v>4.0396638655462183E-2</v>
      </c>
      <c r="P35" s="261">
        <f>report_47_flagged!J27</f>
        <v>1</v>
      </c>
      <c r="Q35" s="262">
        <f>report_47_flagged!BA27</f>
        <v>39.979999999999997</v>
      </c>
      <c r="R35" s="262">
        <f t="shared" si="1"/>
        <v>0.8795599999999999</v>
      </c>
      <c r="S35" s="263">
        <f>report_47_flagged!BB27</f>
        <v>1</v>
      </c>
      <c r="T35" s="262">
        <f>report_47_flagged!BC27</f>
        <v>8.5399999999999991</v>
      </c>
      <c r="U35" s="262">
        <f t="shared" si="2"/>
        <v>0.24765999999999999</v>
      </c>
      <c r="V35" s="263">
        <f>report_47_flagged!BD27</f>
        <v>1</v>
      </c>
      <c r="W35" s="264">
        <f>(report_47_flagged!N27/100)*report_47_flagged!H27</f>
        <v>9.4483271558745585</v>
      </c>
      <c r="X35" s="264">
        <f t="shared" si="3"/>
        <v>0.19849583941375834</v>
      </c>
      <c r="Y35" s="260">
        <f>report_47_flagged!AP27</f>
        <v>1</v>
      </c>
      <c r="Z35" s="264">
        <f>(report_47_flagged!P27/100)*report_47_flagged!H27</f>
        <v>0.61159258796387361</v>
      </c>
      <c r="AA35" s="264">
        <f t="shared" si="4"/>
        <v>2.3243415179609601E-2</v>
      </c>
      <c r="AB35" s="260">
        <f>report_47_flagged!AR27</f>
        <v>1</v>
      </c>
      <c r="AC35" s="264">
        <f>(report_47_flagged!R27/100)*report_47_flagged!H27</f>
        <v>4.1461467634577884</v>
      </c>
      <c r="AD35" s="264">
        <f t="shared" si="5"/>
        <v>0.11611876011839509</v>
      </c>
      <c r="AE35" s="260">
        <f>report_47_flagged!AT27</f>
        <v>1</v>
      </c>
      <c r="AF35" s="264">
        <f>(report_47_flagged!L27/100)*report_47_flagged!H27</f>
        <v>5.3021803924167692</v>
      </c>
      <c r="AG35" s="264">
        <f t="shared" si="6"/>
        <v>0.10079164612181435</v>
      </c>
      <c r="AH35" s="260">
        <f>report_47_flagged!AV27</f>
        <v>1</v>
      </c>
      <c r="AI35" s="264">
        <f>(report_47_flagged!T27/100)*report_47_flagged!H27</f>
        <v>2.9479345665553156</v>
      </c>
      <c r="AJ35" s="264">
        <f t="shared" si="7"/>
        <v>0.14445962250270436</v>
      </c>
      <c r="AK35" s="260">
        <f>report_47_flagged!AX27</f>
        <v>1</v>
      </c>
    </row>
    <row r="36" spans="1:37" ht="15.5">
      <c r="A36" s="59">
        <v>2021</v>
      </c>
      <c r="B36" s="59" t="str">
        <f>LEFT(report_47_flagged!B28,2)</f>
        <v>47</v>
      </c>
      <c r="C36" s="59">
        <f>report_47_flagged!E28</f>
        <v>2000</v>
      </c>
      <c r="D36" s="260">
        <f>report_47_flagged!AM28</f>
        <v>2207.9</v>
      </c>
      <c r="E36" s="59" t="str">
        <f>report_47_flagged!D28</f>
        <v>McLane-PARFLUX-Mark78H-21 ; frame# 14182, funnel# 874, controller# 11741-01 and Motor # 14182-02 Cup set Ex21</v>
      </c>
      <c r="H36" s="59">
        <f>report_47_flagged!C28</f>
        <v>2</v>
      </c>
      <c r="I36" s="59">
        <f>report_47_flagged!F28</f>
        <v>1</v>
      </c>
      <c r="J36" s="66">
        <f>report_47_flagged!AC28</f>
        <v>44332</v>
      </c>
      <c r="K36" s="66">
        <f>report_47_flagged!AD28</f>
        <v>44349</v>
      </c>
      <c r="L36" s="66">
        <f>report_47_flagged!AE28</f>
        <v>44340.5</v>
      </c>
      <c r="M36" s="260">
        <f>report_47_flagged!AF28</f>
        <v>17</v>
      </c>
      <c r="N36" s="261">
        <f>report_47_flagged!H28</f>
        <v>49.887394957983197</v>
      </c>
      <c r="O36" s="261">
        <f t="shared" si="0"/>
        <v>2.9932436974789915E-2</v>
      </c>
      <c r="P36" s="261">
        <f>report_47_flagged!J28</f>
        <v>1</v>
      </c>
      <c r="Q36" s="262">
        <f>report_47_flagged!BA28</f>
        <v>40.36</v>
      </c>
      <c r="R36" s="262">
        <f t="shared" si="1"/>
        <v>0.88791999999999993</v>
      </c>
      <c r="S36" s="263">
        <f>report_47_flagged!BB28</f>
        <v>1</v>
      </c>
      <c r="T36" s="262">
        <f>report_47_flagged!BC28</f>
        <v>8.59</v>
      </c>
      <c r="U36" s="262">
        <f t="shared" si="2"/>
        <v>0.24911</v>
      </c>
      <c r="V36" s="263">
        <f>report_47_flagged!BD28</f>
        <v>1</v>
      </c>
      <c r="W36" s="264">
        <f>(report_47_flagged!N28/100)*report_47_flagged!H28</f>
        <v>6.9467208842910644</v>
      </c>
      <c r="X36" s="264">
        <f t="shared" si="3"/>
        <v>0.1459406697452367</v>
      </c>
      <c r="Y36" s="260">
        <f>report_47_flagged!AP28</f>
        <v>1</v>
      </c>
      <c r="Z36" s="264">
        <f>(report_47_flagged!P28/100)*report_47_flagged!H28</f>
        <v>0.44383598900642718</v>
      </c>
      <c r="AA36" s="264">
        <f t="shared" si="4"/>
        <v>1.6867869832226292E-2</v>
      </c>
      <c r="AB36" s="260">
        <f>report_47_flagged!AR28</f>
        <v>1</v>
      </c>
      <c r="AC36" s="264">
        <f>(report_47_flagged!R28/100)*report_47_flagged!H28</f>
        <v>2.7517886392071556</v>
      </c>
      <c r="AD36" s="264">
        <f t="shared" si="5"/>
        <v>7.7067769937342143E-2</v>
      </c>
      <c r="AE36" s="260">
        <f>report_47_flagged!AT28</f>
        <v>1</v>
      </c>
      <c r="AF36" s="264">
        <f>(report_47_flagged!L28/100)*report_47_flagged!H28</f>
        <v>4.1949322450839093</v>
      </c>
      <c r="AG36" s="264">
        <f t="shared" si="6"/>
        <v>7.9743444217061824E-2</v>
      </c>
      <c r="AH36" s="260">
        <f>report_47_flagged!AV28</f>
        <v>1</v>
      </c>
      <c r="AI36" s="264">
        <f>(report_47_flagged!T28/100)*report_47_flagged!H28</f>
        <v>1.6235280010456175</v>
      </c>
      <c r="AJ36" s="264">
        <f t="shared" si="7"/>
        <v>7.9558835808107908E-2</v>
      </c>
      <c r="AK36" s="260">
        <f>report_47_flagged!AX28</f>
        <v>1</v>
      </c>
    </row>
    <row r="37" spans="1:37" ht="15.5">
      <c r="A37" s="59">
        <v>2021</v>
      </c>
      <c r="B37" s="59" t="str">
        <f>LEFT(report_47_flagged!B29,2)</f>
        <v>47</v>
      </c>
      <c r="C37" s="59">
        <f>report_47_flagged!E29</f>
        <v>2000</v>
      </c>
      <c r="D37" s="260">
        <f>report_47_flagged!AM29</f>
        <v>2207.9</v>
      </c>
      <c r="E37" s="59" t="str">
        <f>report_47_flagged!D29</f>
        <v>McLane-PARFLUX-Mark78H-21 ; frame# 14182, funnel# 874, controller# 11741-01 and Motor # 14182-02 Cup set Ex21</v>
      </c>
      <c r="H37" s="59">
        <f>report_47_flagged!C29</f>
        <v>3</v>
      </c>
      <c r="I37" s="59">
        <f>report_47_flagged!F29</f>
        <v>1</v>
      </c>
      <c r="J37" s="66">
        <f>report_47_flagged!AC29</f>
        <v>44349</v>
      </c>
      <c r="K37" s="66">
        <f>report_47_flagged!AD29</f>
        <v>44366</v>
      </c>
      <c r="L37" s="66">
        <f>report_47_flagged!AE29</f>
        <v>44357.5</v>
      </c>
      <c r="M37" s="260">
        <f>report_47_flagged!AF29</f>
        <v>17</v>
      </c>
      <c r="N37" s="261">
        <f>report_47_flagged!H29</f>
        <v>68.820168067226888</v>
      </c>
      <c r="O37" s="261">
        <f t="shared" si="0"/>
        <v>4.1292100840336132E-2</v>
      </c>
      <c r="P37" s="261">
        <f>report_47_flagged!J29</f>
        <v>1</v>
      </c>
      <c r="Q37" s="262">
        <f>report_47_flagged!BA29</f>
        <v>40.414999999999999</v>
      </c>
      <c r="R37" s="262">
        <f t="shared" si="1"/>
        <v>0.88912999999999998</v>
      </c>
      <c r="S37" s="263">
        <f>report_47_flagged!BB29</f>
        <v>1</v>
      </c>
      <c r="T37" s="262">
        <f>report_47_flagged!BC29</f>
        <v>8.6050000000000004</v>
      </c>
      <c r="U37" s="262">
        <f t="shared" si="2"/>
        <v>0.24954500000000002</v>
      </c>
      <c r="V37" s="263">
        <f>report_47_flagged!BD29</f>
        <v>1</v>
      </c>
      <c r="W37" s="264">
        <f>(report_47_flagged!N29/100)*report_47_flagged!H29</f>
        <v>9.3532581967906783</v>
      </c>
      <c r="X37" s="264">
        <f t="shared" si="3"/>
        <v>0.19649857656243827</v>
      </c>
      <c r="Y37" s="260">
        <f>report_47_flagged!AP29</f>
        <v>1</v>
      </c>
      <c r="Z37" s="264">
        <f>(report_47_flagged!P29/100)*report_47_flagged!H29</f>
        <v>0.51605449428478212</v>
      </c>
      <c r="AA37" s="264">
        <f t="shared" si="4"/>
        <v>1.9612515099141765E-2</v>
      </c>
      <c r="AB37" s="260">
        <f>report_47_flagged!AR29</f>
        <v>1</v>
      </c>
      <c r="AC37" s="264">
        <f>(report_47_flagged!R29/100)*report_47_flagged!H29</f>
        <v>3.5664796754109891</v>
      </c>
      <c r="AD37" s="264">
        <f t="shared" si="5"/>
        <v>9.9884355649485321E-2</v>
      </c>
      <c r="AE37" s="260">
        <f>report_47_flagged!AT29</f>
        <v>1</v>
      </c>
      <c r="AF37" s="264">
        <f>(report_47_flagged!L29/100)*report_47_flagged!H29</f>
        <v>5.7867785213796905</v>
      </c>
      <c r="AG37" s="264">
        <f t="shared" si="6"/>
        <v>0.1100036003577699</v>
      </c>
      <c r="AH37" s="260">
        <f>report_47_flagged!AV29</f>
        <v>1</v>
      </c>
      <c r="AI37" s="264">
        <f>(report_47_flagged!T29/100)*report_47_flagged!H29</f>
        <v>2.5021632832189802</v>
      </c>
      <c r="AJ37" s="264">
        <f t="shared" si="7"/>
        <v>0.12261519215343773</v>
      </c>
      <c r="AK37" s="260">
        <f>report_47_flagged!AX29</f>
        <v>1</v>
      </c>
    </row>
    <row r="38" spans="1:37" ht="15.5">
      <c r="A38" s="59">
        <v>2021</v>
      </c>
      <c r="B38" s="59" t="str">
        <f>LEFT(report_47_flagged!B30,2)</f>
        <v>47</v>
      </c>
      <c r="C38" s="59">
        <f>report_47_flagged!E30</f>
        <v>2000</v>
      </c>
      <c r="D38" s="260">
        <f>report_47_flagged!AM30</f>
        <v>2207.9</v>
      </c>
      <c r="E38" s="59" t="str">
        <f>report_47_flagged!D30</f>
        <v>McLane-PARFLUX-Mark78H-21 ; frame# 14182, funnel# 874, controller# 11741-01 and Motor # 14182-02 Cup set Ex21</v>
      </c>
      <c r="H38" s="59">
        <f>report_47_flagged!C30</f>
        <v>4</v>
      </c>
      <c r="I38" s="59">
        <f>report_47_flagged!F30</f>
        <v>1</v>
      </c>
      <c r="J38" s="66">
        <f>report_47_flagged!AC30</f>
        <v>44366</v>
      </c>
      <c r="K38" s="66">
        <f>report_47_flagged!AD30</f>
        <v>44383</v>
      </c>
      <c r="L38" s="66">
        <f>report_47_flagged!AE30</f>
        <v>44374.5</v>
      </c>
      <c r="M38" s="260">
        <f>report_47_flagged!AF30</f>
        <v>17</v>
      </c>
      <c r="N38" s="261">
        <f>report_47_flagged!H30</f>
        <v>63.450420168067225</v>
      </c>
      <c r="O38" s="261">
        <f t="shared" si="0"/>
        <v>3.8070252100840335E-2</v>
      </c>
      <c r="P38" s="261">
        <f>report_47_flagged!J30</f>
        <v>1</v>
      </c>
      <c r="Q38" s="262">
        <f>report_47_flagged!BA30</f>
        <v>40.22</v>
      </c>
      <c r="R38" s="262">
        <f t="shared" si="1"/>
        <v>0.88483999999999996</v>
      </c>
      <c r="S38" s="263">
        <f>report_47_flagged!BB30</f>
        <v>1</v>
      </c>
      <c r="T38" s="262">
        <f>report_47_flagged!BC30</f>
        <v>8.61</v>
      </c>
      <c r="U38" s="262">
        <f t="shared" si="2"/>
        <v>0.24969</v>
      </c>
      <c r="V38" s="263">
        <f>report_47_flagged!BD30</f>
        <v>1</v>
      </c>
      <c r="W38" s="264">
        <f>(report_47_flagged!N30/100)*report_47_flagged!H30</f>
        <v>8.5054990036908311</v>
      </c>
      <c r="X38" s="264">
        <f t="shared" si="3"/>
        <v>0.17868836848232775</v>
      </c>
      <c r="Y38" s="260">
        <f>report_47_flagged!AP30</f>
        <v>1</v>
      </c>
      <c r="Z38" s="264">
        <f>(report_47_flagged!P30/100)*report_47_flagged!H30</f>
        <v>0.46690247364004123</v>
      </c>
      <c r="AA38" s="264">
        <f t="shared" si="4"/>
        <v>1.7744505503790132E-2</v>
      </c>
      <c r="AB38" s="260">
        <f>report_47_flagged!AR30</f>
        <v>1</v>
      </c>
      <c r="AC38" s="264">
        <f>(report_47_flagged!R30/100)*report_47_flagged!H30</f>
        <v>3.1803257923583081</v>
      </c>
      <c r="AD38" s="264">
        <f t="shared" si="5"/>
        <v>8.906956479109665E-2</v>
      </c>
      <c r="AE38" s="260">
        <f>report_47_flagged!AT30</f>
        <v>1</v>
      </c>
      <c r="AF38" s="264">
        <f>(report_47_flagged!L30/100)*report_47_flagged!H30</f>
        <v>5.3251732113325234</v>
      </c>
      <c r="AG38" s="264">
        <f t="shared" si="6"/>
        <v>0.10122872745364044</v>
      </c>
      <c r="AH38" s="260">
        <f>report_47_flagged!AV30</f>
        <v>1</v>
      </c>
      <c r="AI38" s="264">
        <f>(report_47_flagged!T30/100)*report_47_flagged!H30</f>
        <v>2.7010034166723909</v>
      </c>
      <c r="AJ38" s="264">
        <f t="shared" si="7"/>
        <v>0.13235908909842037</v>
      </c>
      <c r="AK38" s="260">
        <f>report_47_flagged!AX30</f>
        <v>1</v>
      </c>
    </row>
    <row r="39" spans="1:37" ht="15.5">
      <c r="A39" s="59">
        <v>2021</v>
      </c>
      <c r="B39" s="59" t="str">
        <f>LEFT(report_47_flagged!B31,2)</f>
        <v>47</v>
      </c>
      <c r="C39" s="59">
        <f>report_47_flagged!E31</f>
        <v>2000</v>
      </c>
      <c r="D39" s="260">
        <f>report_47_flagged!AM31</f>
        <v>2207.9</v>
      </c>
      <c r="E39" s="59" t="str">
        <f>report_47_flagged!D31</f>
        <v>McLane-PARFLUX-Mark78H-21 ; frame# 14182, funnel# 874, controller# 11741-01 and Motor # 14182-02 Cup set Ex21</v>
      </c>
      <c r="H39" s="59">
        <f>report_47_flagged!C31</f>
        <v>5</v>
      </c>
      <c r="I39" s="59">
        <f>report_47_flagged!F31</f>
        <v>1</v>
      </c>
      <c r="J39" s="66">
        <f>report_47_flagged!AC31</f>
        <v>44383</v>
      </c>
      <c r="K39" s="66">
        <f>report_47_flagged!AD31</f>
        <v>44400</v>
      </c>
      <c r="L39" s="66">
        <f>report_47_flagged!AE31</f>
        <v>44391.5</v>
      </c>
      <c r="M39" s="260">
        <f>report_47_flagged!AF31</f>
        <v>17</v>
      </c>
      <c r="N39" s="261">
        <f>report_47_flagged!H31</f>
        <v>49.774789915966387</v>
      </c>
      <c r="O39" s="261">
        <f t="shared" si="0"/>
        <v>2.9864873949579828E-2</v>
      </c>
      <c r="P39" s="261">
        <f>report_47_flagged!J31</f>
        <v>1</v>
      </c>
      <c r="Q39" s="262">
        <f>report_47_flagged!BA31</f>
        <v>40.5</v>
      </c>
      <c r="R39" s="262">
        <f t="shared" si="1"/>
        <v>0.8909999999999999</v>
      </c>
      <c r="S39" s="263">
        <f>report_47_flagged!BB31</f>
        <v>1</v>
      </c>
      <c r="T39" s="262">
        <f>report_47_flagged!BC31</f>
        <v>8.6</v>
      </c>
      <c r="U39" s="262">
        <f t="shared" si="2"/>
        <v>0.24940000000000001</v>
      </c>
      <c r="V39" s="263">
        <f>report_47_flagged!BD31</f>
        <v>1</v>
      </c>
      <c r="W39" s="264">
        <f>(report_47_flagged!N31/100)*report_47_flagged!H31</f>
        <v>6.7085900158281095</v>
      </c>
      <c r="X39" s="264">
        <f t="shared" si="3"/>
        <v>0.14093788080217048</v>
      </c>
      <c r="Y39" s="260">
        <f>report_47_flagged!AP31</f>
        <v>1</v>
      </c>
      <c r="Z39" s="264">
        <f>(report_47_flagged!P31/100)*report_47_flagged!H31</f>
        <v>0.35596716855153315</v>
      </c>
      <c r="AA39" s="264">
        <f t="shared" si="4"/>
        <v>1.3528438460150352E-2</v>
      </c>
      <c r="AB39" s="260">
        <f>report_47_flagged!AR31</f>
        <v>1</v>
      </c>
      <c r="AC39" s="264">
        <f>(report_47_flagged!R31/100)*report_47_flagged!H31</f>
        <v>2.5122854717328806</v>
      </c>
      <c r="AD39" s="264">
        <f t="shared" si="5"/>
        <v>7.036014176154945E-2</v>
      </c>
      <c r="AE39" s="260">
        <f>report_47_flagged!AT31</f>
        <v>1</v>
      </c>
      <c r="AF39" s="264">
        <f>(report_47_flagged!L31/100)*report_47_flagged!H31</f>
        <v>4.1963045440952289</v>
      </c>
      <c r="AG39" s="264">
        <f t="shared" si="6"/>
        <v>7.9769530895764801E-2</v>
      </c>
      <c r="AH39" s="260">
        <f>report_47_flagged!AV31</f>
        <v>1</v>
      </c>
      <c r="AI39" s="264">
        <f>(report_47_flagged!T31/100)*report_47_flagged!H31</f>
        <v>2.0699385616345398</v>
      </c>
      <c r="AJ39" s="264">
        <f t="shared" si="7"/>
        <v>0.10143459309102869</v>
      </c>
      <c r="AK39" s="260">
        <f>report_47_flagged!AX31</f>
        <v>1</v>
      </c>
    </row>
    <row r="40" spans="1:37" ht="15.5">
      <c r="A40" s="59">
        <v>2021</v>
      </c>
      <c r="B40" s="59" t="str">
        <f>LEFT(report_47_flagged!B32,2)</f>
        <v>47</v>
      </c>
      <c r="C40" s="59">
        <f>report_47_flagged!E32</f>
        <v>2000</v>
      </c>
      <c r="D40" s="260">
        <f>report_47_flagged!AM32</f>
        <v>2207.9</v>
      </c>
      <c r="E40" s="59" t="str">
        <f>report_47_flagged!D32</f>
        <v>McLane-PARFLUX-Mark78H-21 ; frame# 14182, funnel# 874, controller# 11741-01 and Motor # 14182-02 Cup set Ex21</v>
      </c>
      <c r="H40" s="59">
        <f>report_47_flagged!C32</f>
        <v>6</v>
      </c>
      <c r="I40" s="59">
        <f>report_47_flagged!F32</f>
        <v>1</v>
      </c>
      <c r="J40" s="66">
        <f>report_47_flagged!AC32</f>
        <v>44400</v>
      </c>
      <c r="K40" s="66">
        <f>report_47_flagged!AD32</f>
        <v>44417</v>
      </c>
      <c r="L40" s="66">
        <f>report_47_flagged!AE32</f>
        <v>44408.5</v>
      </c>
      <c r="M40" s="260">
        <f>report_47_flagged!AF32</f>
        <v>17</v>
      </c>
      <c r="N40" s="261">
        <f>report_47_flagged!H32</f>
        <v>32.59159663865546</v>
      </c>
      <c r="O40" s="261">
        <f t="shared" si="0"/>
        <v>1.9554957983193275E-2</v>
      </c>
      <c r="P40" s="261">
        <f>report_47_flagged!J32</f>
        <v>1</v>
      </c>
      <c r="Q40" s="262">
        <f>report_47_flagged!BA32</f>
        <v>40.549999999999997</v>
      </c>
      <c r="R40" s="262">
        <f t="shared" si="1"/>
        <v>0.89209999999999989</v>
      </c>
      <c r="S40" s="263">
        <f>report_47_flagged!BB32</f>
        <v>1</v>
      </c>
      <c r="T40" s="262">
        <f>report_47_flagged!BC32</f>
        <v>8.65</v>
      </c>
      <c r="U40" s="262">
        <f t="shared" si="2"/>
        <v>0.25085000000000002</v>
      </c>
      <c r="V40" s="263">
        <f>report_47_flagged!BD32</f>
        <v>1</v>
      </c>
      <c r="W40" s="264">
        <f>(report_47_flagged!N32/100)*report_47_flagged!H32</f>
        <v>4.3255356722278746</v>
      </c>
      <c r="X40" s="264">
        <f t="shared" si="3"/>
        <v>9.0873317573385126E-2</v>
      </c>
      <c r="Y40" s="260">
        <f>report_47_flagged!AP32</f>
        <v>1</v>
      </c>
      <c r="Z40" s="264">
        <f>(report_47_flagged!P32/100)*report_47_flagged!H32</f>
        <v>0.20883366355575431</v>
      </c>
      <c r="AA40" s="264">
        <f t="shared" si="4"/>
        <v>7.9366683655623816E-3</v>
      </c>
      <c r="AB40" s="260">
        <f>report_47_flagged!AR32</f>
        <v>1</v>
      </c>
      <c r="AC40" s="264">
        <f>(report_47_flagged!R32/100)*report_47_flagged!H32</f>
        <v>1.5133797736115675</v>
      </c>
      <c r="AD40" s="264">
        <f t="shared" si="5"/>
        <v>4.2384361414518894E-2</v>
      </c>
      <c r="AE40" s="260">
        <f>report_47_flagged!AT32</f>
        <v>1</v>
      </c>
      <c r="AF40" s="264">
        <f>(report_47_flagged!L32/100)*report_47_flagged!H32</f>
        <v>2.8121558986163078</v>
      </c>
      <c r="AG40" s="264">
        <f t="shared" si="6"/>
        <v>5.3457596912034347E-2</v>
      </c>
      <c r="AH40" s="260">
        <f>report_47_flagged!AV32</f>
        <v>1</v>
      </c>
      <c r="AI40" s="264">
        <f>(report_47_flagged!T32/100)*report_47_flagged!H32</f>
        <v>1.3738330931561611</v>
      </c>
      <c r="AJ40" s="264">
        <f t="shared" si="7"/>
        <v>6.7322868109303977E-2</v>
      </c>
      <c r="AK40" s="260">
        <f>report_47_flagged!AX32</f>
        <v>1</v>
      </c>
    </row>
    <row r="41" spans="1:37" ht="15.5">
      <c r="A41" s="59">
        <v>2021</v>
      </c>
      <c r="B41" s="59" t="str">
        <f>LEFT(report_47_flagged!B33,2)</f>
        <v>47</v>
      </c>
      <c r="C41" s="59">
        <f>report_47_flagged!E33</f>
        <v>2000</v>
      </c>
      <c r="D41" s="260">
        <f>report_47_flagged!AM33</f>
        <v>2207.9</v>
      </c>
      <c r="E41" s="59" t="str">
        <f>report_47_flagged!D33</f>
        <v>McLane-PARFLUX-Mark78H-21 ; frame# 14182, funnel# 874, controller# 11741-01 and Motor # 14182-02 Cup set Ex21</v>
      </c>
      <c r="H41" s="59">
        <f>report_47_flagged!C33</f>
        <v>7</v>
      </c>
      <c r="I41" s="59">
        <f>report_47_flagged!F33</f>
        <v>1</v>
      </c>
      <c r="J41" s="66">
        <f>report_47_flagged!AC33</f>
        <v>44417</v>
      </c>
      <c r="K41" s="66">
        <f>report_47_flagged!AD33</f>
        <v>44434</v>
      </c>
      <c r="L41" s="66">
        <f>report_47_flagged!AE33</f>
        <v>44425.5</v>
      </c>
      <c r="M41" s="260">
        <f>report_47_flagged!AF33</f>
        <v>17</v>
      </c>
      <c r="N41" s="261">
        <f>report_47_flagged!H33</f>
        <v>33.773109243697476</v>
      </c>
      <c r="O41" s="261">
        <f t="shared" si="0"/>
        <v>2.0263865546218483E-2</v>
      </c>
      <c r="P41" s="261">
        <f>report_47_flagged!J33</f>
        <v>1</v>
      </c>
      <c r="Q41" s="262">
        <f>report_47_flagged!BA33</f>
        <v>40.64</v>
      </c>
      <c r="R41" s="262">
        <f t="shared" si="1"/>
        <v>0.89407999999999999</v>
      </c>
      <c r="S41" s="263">
        <f>report_47_flagged!BB33</f>
        <v>1</v>
      </c>
      <c r="T41" s="262">
        <f>report_47_flagged!BC33</f>
        <v>8.64</v>
      </c>
      <c r="U41" s="262">
        <f t="shared" si="2"/>
        <v>0.25056</v>
      </c>
      <c r="V41" s="263">
        <f>report_47_flagged!BD33</f>
        <v>1</v>
      </c>
      <c r="W41" s="264">
        <f>(report_47_flagged!N33/100)*report_47_flagged!H33</f>
        <v>4.7956162183425004</v>
      </c>
      <c r="X41" s="264">
        <f t="shared" si="3"/>
        <v>0.10074903748165324</v>
      </c>
      <c r="Y41" s="260">
        <f>report_47_flagged!AP33</f>
        <v>1</v>
      </c>
      <c r="Z41" s="264">
        <f>(report_47_flagged!P33/100)*report_47_flagged!H33</f>
        <v>0.32774370518051271</v>
      </c>
      <c r="AA41" s="264">
        <f t="shared" si="4"/>
        <v>1.2455813170293369E-2</v>
      </c>
      <c r="AB41" s="260">
        <f>report_47_flagged!AR33</f>
        <v>1</v>
      </c>
      <c r="AC41" s="264">
        <f>(report_47_flagged!R33/100)*report_47_flagged!H33</f>
        <v>2.023139902609306</v>
      </c>
      <c r="AD41" s="264">
        <f t="shared" si="5"/>
        <v>5.6660921679753014E-2</v>
      </c>
      <c r="AE41" s="260">
        <f>report_47_flagged!AT33</f>
        <v>1</v>
      </c>
      <c r="AF41" s="264">
        <f>(report_47_flagged!L33/100)*report_47_flagged!H33</f>
        <v>2.772476315733194</v>
      </c>
      <c r="AG41" s="264">
        <f t="shared" si="6"/>
        <v>5.2703309019088276E-2</v>
      </c>
      <c r="AH41" s="260">
        <f>report_47_flagged!AV33</f>
        <v>1</v>
      </c>
      <c r="AI41" s="264">
        <f>(report_47_flagged!T33/100)*report_47_flagged!H33</f>
        <v>1.4175753057998024</v>
      </c>
      <c r="AJ41" s="264">
        <f t="shared" si="7"/>
        <v>6.9466397208498745E-2</v>
      </c>
      <c r="AK41" s="260">
        <f>report_47_flagged!AX33</f>
        <v>1</v>
      </c>
    </row>
    <row r="42" spans="1:37" ht="15.5">
      <c r="A42" s="59">
        <v>2021</v>
      </c>
      <c r="B42" s="59" t="str">
        <f>LEFT(report_47_flagged!B34,2)</f>
        <v>47</v>
      </c>
      <c r="C42" s="59">
        <f>report_47_flagged!E34</f>
        <v>2000</v>
      </c>
      <c r="D42" s="260">
        <f>report_47_flagged!AM34</f>
        <v>2207.9</v>
      </c>
      <c r="E42" s="59" t="str">
        <f>report_47_flagged!D34</f>
        <v>McLane-PARFLUX-Mark78H-21 ; frame# 14182, funnel# 874, controller# 11741-01 and Motor # 14182-02 Cup set Ex21</v>
      </c>
      <c r="H42" s="59">
        <f>report_47_flagged!C34</f>
        <v>8</v>
      </c>
      <c r="I42" s="59">
        <f>report_47_flagged!F34</f>
        <v>1</v>
      </c>
      <c r="J42" s="66">
        <f>report_47_flagged!AC34</f>
        <v>44434</v>
      </c>
      <c r="K42" s="66">
        <f>report_47_flagged!AD34</f>
        <v>44451</v>
      </c>
      <c r="L42" s="66">
        <f>report_47_flagged!AE34</f>
        <v>44442.5</v>
      </c>
      <c r="M42" s="260">
        <f>report_47_flagged!AF34</f>
        <v>17</v>
      </c>
      <c r="N42" s="261">
        <f>report_47_flagged!H34</f>
        <v>33.700840336134455</v>
      </c>
      <c r="O42" s="261">
        <f t="shared" si="0"/>
        <v>2.0220504201680672E-2</v>
      </c>
      <c r="P42" s="261">
        <f>report_47_flagged!J34</f>
        <v>1</v>
      </c>
      <c r="Q42" s="262">
        <f>report_47_flagged!BA34</f>
        <v>40.67</v>
      </c>
      <c r="R42" s="262">
        <f t="shared" si="1"/>
        <v>0.89473999999999998</v>
      </c>
      <c r="S42" s="263">
        <f>report_47_flagged!BB34</f>
        <v>1</v>
      </c>
      <c r="T42" s="262">
        <f>report_47_flagged!BC34</f>
        <v>8.6300000000000008</v>
      </c>
      <c r="U42" s="262">
        <f t="shared" si="2"/>
        <v>0.25027000000000005</v>
      </c>
      <c r="V42" s="263">
        <f>report_47_flagged!BD34</f>
        <v>1</v>
      </c>
      <c r="W42" s="264">
        <f>(report_47_flagged!N34/100)*report_47_flagged!H34</f>
        <v>4.4763566319441592</v>
      </c>
      <c r="X42" s="264">
        <f t="shared" si="3"/>
        <v>9.4041850214791264E-2</v>
      </c>
      <c r="Y42" s="260">
        <f>report_47_flagged!AP34</f>
        <v>1</v>
      </c>
      <c r="Z42" s="264">
        <f>(report_47_flagged!P34/100)*report_47_flagged!H34</f>
        <v>0.2294828946289896</v>
      </c>
      <c r="AA42" s="264">
        <f t="shared" si="4"/>
        <v>8.7214369523969468E-3</v>
      </c>
      <c r="AB42" s="260">
        <f>report_47_flagged!AR34</f>
        <v>1</v>
      </c>
      <c r="AC42" s="264">
        <f>(report_47_flagged!R34/100)*report_47_flagged!H34</f>
        <v>1.6040759705994718</v>
      </c>
      <c r="AD42" s="264">
        <f t="shared" si="5"/>
        <v>4.4924437910244801E-2</v>
      </c>
      <c r="AE42" s="260">
        <f>report_47_flagged!AT34</f>
        <v>1</v>
      </c>
      <c r="AF42" s="264">
        <f>(report_47_flagged!L34/100)*report_47_flagged!H34</f>
        <v>2.8722806613446878</v>
      </c>
      <c r="AG42" s="264">
        <f t="shared" si="6"/>
        <v>5.4600536864953357E-2</v>
      </c>
      <c r="AH42" s="260">
        <f>report_47_flagged!AV34</f>
        <v>1</v>
      </c>
      <c r="AI42" s="264">
        <f>(report_47_flagged!T34/100)*report_47_flagged!H34</f>
        <v>1.5424852786115357</v>
      </c>
      <c r="AJ42" s="264">
        <f t="shared" si="7"/>
        <v>7.5587444712036503E-2</v>
      </c>
      <c r="AK42" s="260">
        <f>report_47_flagged!AX34</f>
        <v>1</v>
      </c>
    </row>
    <row r="43" spans="1:37" ht="15.5">
      <c r="A43" s="59">
        <v>2021</v>
      </c>
      <c r="B43" s="59" t="str">
        <f>LEFT(report_47_flagged!B35,2)</f>
        <v>47</v>
      </c>
      <c r="C43" s="59">
        <f>report_47_flagged!E35</f>
        <v>2000</v>
      </c>
      <c r="D43" s="260">
        <f>report_47_flagged!AM35</f>
        <v>2207.9</v>
      </c>
      <c r="E43" s="59" t="str">
        <f>report_47_flagged!D35</f>
        <v>McLane-PARFLUX-Mark78H-21 ; frame# 14182, funnel# 874, controller# 11741-01 and Motor # 14182-02 Cup set Ex21</v>
      </c>
      <c r="H43" s="59">
        <f>report_47_flagged!C35</f>
        <v>9</v>
      </c>
      <c r="I43" s="59">
        <f>report_47_flagged!F35</f>
        <v>1</v>
      </c>
      <c r="J43" s="66">
        <f>report_47_flagged!AC35</f>
        <v>44451</v>
      </c>
      <c r="K43" s="66">
        <f>report_47_flagged!AD35</f>
        <v>44468</v>
      </c>
      <c r="L43" s="66">
        <f>report_47_flagged!AE35</f>
        <v>44459.5</v>
      </c>
      <c r="M43" s="260">
        <f>report_47_flagged!AF35</f>
        <v>17</v>
      </c>
      <c r="N43" s="261">
        <f>report_47_flagged!H35</f>
        <v>54.3764705882353</v>
      </c>
      <c r="O43" s="261">
        <f t="shared" si="0"/>
        <v>3.2625882352941178E-2</v>
      </c>
      <c r="P43" s="261">
        <f>report_47_flagged!J35</f>
        <v>1</v>
      </c>
      <c r="Q43" s="262">
        <f>report_47_flagged!BA35</f>
        <v>40.68</v>
      </c>
      <c r="R43" s="262">
        <f t="shared" si="1"/>
        <v>0.89495999999999998</v>
      </c>
      <c r="S43" s="263">
        <f>report_47_flagged!BB35</f>
        <v>1</v>
      </c>
      <c r="T43" s="262">
        <f>report_47_flagged!BC35</f>
        <v>8.6199999999999992</v>
      </c>
      <c r="U43" s="262">
        <f t="shared" si="2"/>
        <v>0.24997999999999998</v>
      </c>
      <c r="V43" s="263">
        <f>report_47_flagged!BD35</f>
        <v>1</v>
      </c>
      <c r="W43" s="264">
        <f>(report_47_flagged!N35/100)*report_47_flagged!H35</f>
        <v>7.3301657876407402</v>
      </c>
      <c r="X43" s="264">
        <f t="shared" si="3"/>
        <v>0.15399629871570458</v>
      </c>
      <c r="Y43" s="260">
        <f>report_47_flagged!AP35</f>
        <v>1</v>
      </c>
      <c r="Z43" s="264">
        <f>(report_47_flagged!P35/100)*report_47_flagged!H35</f>
        <v>0.41007313771808857</v>
      </c>
      <c r="AA43" s="264">
        <f t="shared" si="4"/>
        <v>1.5584721563940499E-2</v>
      </c>
      <c r="AB43" s="260">
        <f>report_47_flagged!AR35</f>
        <v>1</v>
      </c>
      <c r="AC43" s="264">
        <f>(report_47_flagged!R35/100)*report_47_flagged!H35</f>
        <v>2.7454667509299053</v>
      </c>
      <c r="AD43" s="264">
        <f t="shared" si="5"/>
        <v>7.6890716429533087E-2</v>
      </c>
      <c r="AE43" s="260">
        <f>report_47_flagged!AT35</f>
        <v>1</v>
      </c>
      <c r="AF43" s="264">
        <f>(report_47_flagged!L35/100)*report_47_flagged!H35</f>
        <v>4.5846990367108349</v>
      </c>
      <c r="AG43" s="264">
        <f t="shared" si="6"/>
        <v>8.7152704865357034E-2</v>
      </c>
      <c r="AH43" s="260">
        <f>report_47_flagged!AV35</f>
        <v>1</v>
      </c>
      <c r="AI43" s="264">
        <f>(report_47_flagged!T35/100)*report_47_flagged!H35</f>
        <v>2.473704162087087</v>
      </c>
      <c r="AJ43" s="264">
        <f t="shared" si="7"/>
        <v>0.12122059067818315</v>
      </c>
      <c r="AK43" s="260">
        <f>report_47_flagged!AX35</f>
        <v>1</v>
      </c>
    </row>
    <row r="44" spans="1:37" ht="15.5">
      <c r="A44" s="59">
        <v>2021</v>
      </c>
      <c r="B44" s="59" t="str">
        <f>LEFT(report_47_flagged!B36,2)</f>
        <v>47</v>
      </c>
      <c r="C44" s="59">
        <f>report_47_flagged!E36</f>
        <v>2000</v>
      </c>
      <c r="D44" s="260">
        <f>report_47_flagged!AM36</f>
        <v>2207.9</v>
      </c>
      <c r="E44" s="59" t="str">
        <f>report_47_flagged!D36</f>
        <v>McLane-PARFLUX-Mark78H-21 ; frame# 14182, funnel# 874, controller# 11741-01 and Motor # 14182-02 Cup set Ex21</v>
      </c>
      <c r="H44" s="59">
        <f>report_47_flagged!C36</f>
        <v>10</v>
      </c>
      <c r="I44" s="59">
        <f>report_47_flagged!F36</f>
        <v>1</v>
      </c>
      <c r="J44" s="66">
        <f>report_47_flagged!AC36</f>
        <v>44468</v>
      </c>
      <c r="K44" s="66">
        <f>report_47_flagged!AD36</f>
        <v>44485</v>
      </c>
      <c r="L44" s="66">
        <f>report_47_flagged!AE36</f>
        <v>44476.5</v>
      </c>
      <c r="M44" s="260">
        <f>report_47_flagged!AF36</f>
        <v>17</v>
      </c>
      <c r="N44" s="261">
        <f>report_47_flagged!H36</f>
        <v>60.421848739495815</v>
      </c>
      <c r="O44" s="261">
        <f t="shared" si="0"/>
        <v>3.6253109243697484E-2</v>
      </c>
      <c r="P44" s="261">
        <f>report_47_flagged!J36</f>
        <v>1</v>
      </c>
      <c r="Q44" s="262">
        <f>report_47_flagged!BA36</f>
        <v>40.17</v>
      </c>
      <c r="R44" s="262">
        <f t="shared" si="1"/>
        <v>0.88373999999999997</v>
      </c>
      <c r="S44" s="263">
        <f>report_47_flagged!BB36</f>
        <v>1</v>
      </c>
      <c r="T44" s="262">
        <f>report_47_flagged!BC36</f>
        <v>8.44</v>
      </c>
      <c r="U44" s="262">
        <f t="shared" si="2"/>
        <v>0.24476000000000001</v>
      </c>
      <c r="V44" s="263">
        <f>report_47_flagged!BD36</f>
        <v>1</v>
      </c>
      <c r="W44" s="264">
        <f>(report_47_flagged!N36/100)*report_47_flagged!H36</f>
        <v>8.8834493374544046</v>
      </c>
      <c r="X44" s="264">
        <f t="shared" si="3"/>
        <v>0.18662856440478431</v>
      </c>
      <c r="Y44" s="260">
        <f>report_47_flagged!AP36</f>
        <v>1</v>
      </c>
      <c r="Z44" s="264">
        <f>(report_47_flagged!P36/100)*report_47_flagged!H36</f>
        <v>0.72776594586131971</v>
      </c>
      <c r="AA44" s="264">
        <f t="shared" si="4"/>
        <v>2.7658553040271868E-2</v>
      </c>
      <c r="AB44" s="260">
        <f>report_47_flagged!AR36</f>
        <v>1</v>
      </c>
      <c r="AC44" s="264">
        <f>(report_47_flagged!R36/100)*report_47_flagged!H36</f>
        <v>4.128229311885355</v>
      </c>
      <c r="AD44" s="264">
        <f t="shared" si="5"/>
        <v>0.11561695630396927</v>
      </c>
      <c r="AE44" s="260">
        <f>report_47_flagged!AT36</f>
        <v>1</v>
      </c>
      <c r="AF44" s="264">
        <f>(report_47_flagged!L36/100)*report_47_flagged!H36</f>
        <v>4.7552200255690504</v>
      </c>
      <c r="AG44" s="264">
        <f t="shared" si="6"/>
        <v>9.0394218713116772E-2</v>
      </c>
      <c r="AH44" s="260">
        <f>report_47_flagged!AV36</f>
        <v>1</v>
      </c>
      <c r="AI44" s="264">
        <f>(report_47_flagged!T36/100)*report_47_flagged!H36</f>
        <v>2.679095254824932</v>
      </c>
      <c r="AJ44" s="264">
        <f t="shared" si="7"/>
        <v>0.13128550869194949</v>
      </c>
      <c r="AK44" s="260">
        <f>report_47_flagged!AX36</f>
        <v>1</v>
      </c>
    </row>
    <row r="45" spans="1:37" ht="15.5">
      <c r="A45" s="59">
        <v>2021</v>
      </c>
      <c r="B45" s="59" t="str">
        <f>LEFT(report_47_flagged!B37,2)</f>
        <v>47</v>
      </c>
      <c r="C45" s="59">
        <f>report_47_flagged!E37</f>
        <v>2000</v>
      </c>
      <c r="D45" s="260">
        <f>report_47_flagged!AM37</f>
        <v>2207.9</v>
      </c>
      <c r="E45" s="59" t="str">
        <f>report_47_flagged!D37</f>
        <v>McLane-PARFLUX-Mark78H-21 ; frame# 14182, funnel# 874, controller# 11741-01 and Motor # 14182-02 Cup set Ex21</v>
      </c>
      <c r="H45" s="59">
        <f>report_47_flagged!C37</f>
        <v>11</v>
      </c>
      <c r="I45" s="59">
        <f>report_47_flagged!F37</f>
        <v>1</v>
      </c>
      <c r="J45" s="66">
        <f>report_47_flagged!AC37</f>
        <v>44485</v>
      </c>
      <c r="K45" s="66">
        <f>report_47_flagged!AD37</f>
        <v>44502</v>
      </c>
      <c r="L45" s="66">
        <f>report_47_flagged!AE37</f>
        <v>44493.5</v>
      </c>
      <c r="M45" s="260">
        <f>report_47_flagged!AF37</f>
        <v>17</v>
      </c>
      <c r="N45" s="261">
        <f>report_47_flagged!H37</f>
        <v>65.048739495798316</v>
      </c>
      <c r="O45" s="261">
        <f t="shared" si="0"/>
        <v>3.9029243697478982E-2</v>
      </c>
      <c r="P45" s="261">
        <f>report_47_flagged!J37</f>
        <v>1</v>
      </c>
      <c r="Q45" s="262">
        <f>report_47_flagged!BA37</f>
        <v>40.119999999999997</v>
      </c>
      <c r="R45" s="262">
        <f t="shared" si="1"/>
        <v>0.88263999999999987</v>
      </c>
      <c r="S45" s="263">
        <f>report_47_flagged!BB37</f>
        <v>1</v>
      </c>
      <c r="T45" s="262">
        <f>report_47_flagged!BC37</f>
        <v>8.57</v>
      </c>
      <c r="U45" s="262">
        <f t="shared" si="2"/>
        <v>0.24853000000000003</v>
      </c>
      <c r="V45" s="263">
        <f>report_47_flagged!BD37</f>
        <v>1</v>
      </c>
      <c r="W45" s="264">
        <f>(report_47_flagged!N37/100)*report_47_flagged!H37</f>
        <v>8.959830857220819</v>
      </c>
      <c r="X45" s="264">
        <f t="shared" si="3"/>
        <v>0.18823323088506239</v>
      </c>
      <c r="Y45" s="260">
        <f>report_47_flagged!AP37</f>
        <v>1</v>
      </c>
      <c r="Z45" s="264">
        <f>(report_47_flagged!P37/100)*report_47_flagged!H37</f>
        <v>0.4847343913807588</v>
      </c>
      <c r="AA45" s="264">
        <f t="shared" si="4"/>
        <v>1.8422202839652263E-2</v>
      </c>
      <c r="AB45" s="260">
        <f>report_47_flagged!AR37</f>
        <v>1</v>
      </c>
      <c r="AC45" s="264">
        <f>(report_47_flagged!R37/100)*report_47_flagged!H37</f>
        <v>3.3437207716717561</v>
      </c>
      <c r="AD45" s="264">
        <f t="shared" si="5"/>
        <v>9.3645674487615252E-2</v>
      </c>
      <c r="AE45" s="260">
        <f>report_47_flagged!AT37</f>
        <v>1</v>
      </c>
      <c r="AF45" s="264">
        <f>(report_47_flagged!L37/100)*report_47_flagged!H37</f>
        <v>5.6161100855490611</v>
      </c>
      <c r="AG45" s="264">
        <f t="shared" si="6"/>
        <v>0.10675928362101633</v>
      </c>
      <c r="AH45" s="260">
        <f>report_47_flagged!AV37</f>
        <v>1</v>
      </c>
      <c r="AI45" s="264">
        <f>(report_47_flagged!T37/100)*report_47_flagged!H37</f>
        <v>2.6046822583183915</v>
      </c>
      <c r="AJ45" s="264">
        <f t="shared" si="7"/>
        <v>0.12763899851951002</v>
      </c>
      <c r="AK45" s="260">
        <f>report_47_flagged!AX37</f>
        <v>1</v>
      </c>
    </row>
    <row r="46" spans="1:37" ht="15.5">
      <c r="A46" s="59">
        <v>2021</v>
      </c>
      <c r="B46" s="59" t="str">
        <f>LEFT(report_47_flagged!B38,2)</f>
        <v>47</v>
      </c>
      <c r="C46" s="59">
        <f>report_47_flagged!E38</f>
        <v>2000</v>
      </c>
      <c r="D46" s="260">
        <f>report_47_flagged!AM38</f>
        <v>2207.9</v>
      </c>
      <c r="E46" s="59" t="str">
        <f>report_47_flagged!D38</f>
        <v>McLane-PARFLUX-Mark78H-21 ; frame# 14182, funnel# 874, controller# 11741-01 and Motor # 14182-02 Cup set Ex21</v>
      </c>
      <c r="H46" s="59">
        <f>report_47_flagged!C38</f>
        <v>12</v>
      </c>
      <c r="I46" s="59">
        <f>report_47_flagged!F38</f>
        <v>1</v>
      </c>
      <c r="J46" s="66">
        <f>report_47_flagged!AC38</f>
        <v>44502</v>
      </c>
      <c r="K46" s="66">
        <f>report_47_flagged!AD38</f>
        <v>44519</v>
      </c>
      <c r="L46" s="66">
        <f>report_47_flagged!AE38</f>
        <v>44510.5</v>
      </c>
      <c r="M46" s="260">
        <f>report_47_flagged!AF38</f>
        <v>17</v>
      </c>
      <c r="N46" s="261">
        <f>report_47_flagged!H38</f>
        <v>92.620168067226913</v>
      </c>
      <c r="O46" s="261">
        <f t="shared" si="0"/>
        <v>5.557210084033614E-2</v>
      </c>
      <c r="P46" s="261">
        <f>report_47_flagged!J38</f>
        <v>1</v>
      </c>
      <c r="Q46" s="262">
        <f>report_47_flagged!BA38</f>
        <v>40.43</v>
      </c>
      <c r="R46" s="262">
        <f t="shared" si="1"/>
        <v>0.88945999999999992</v>
      </c>
      <c r="S46" s="263">
        <f>report_47_flagged!BB38</f>
        <v>1</v>
      </c>
      <c r="T46" s="262">
        <f>report_47_flagged!BC38</f>
        <v>8.5500000000000007</v>
      </c>
      <c r="U46" s="262">
        <f t="shared" si="2"/>
        <v>0.24795000000000003</v>
      </c>
      <c r="V46" s="263">
        <f>report_47_flagged!BD38</f>
        <v>1</v>
      </c>
      <c r="W46" s="264">
        <f>(report_47_flagged!N38/100)*report_47_flagged!H38</f>
        <v>12.782676888842545</v>
      </c>
      <c r="X46" s="264">
        <f t="shared" si="3"/>
        <v>0.26854575811635206</v>
      </c>
      <c r="Y46" s="260">
        <f>report_47_flagged!AP38</f>
        <v>1</v>
      </c>
      <c r="Z46" s="264">
        <f>(report_47_flagged!P38/100)*report_47_flagged!H38</f>
        <v>0.67603891508118463</v>
      </c>
      <c r="AA46" s="264">
        <f t="shared" si="4"/>
        <v>2.5692680863118957E-2</v>
      </c>
      <c r="AB46" s="260">
        <f>report_47_flagged!AR38</f>
        <v>1</v>
      </c>
      <c r="AC46" s="264">
        <f>(report_47_flagged!R38/100)*report_47_flagged!H38</f>
        <v>4.7893604181629641</v>
      </c>
      <c r="AD46" s="264">
        <f t="shared" si="5"/>
        <v>0.13413287692049727</v>
      </c>
      <c r="AE46" s="260">
        <f>report_47_flagged!AT38</f>
        <v>1</v>
      </c>
      <c r="AF46" s="264">
        <f>(report_47_flagged!L38/100)*report_47_flagged!H38</f>
        <v>7.9933164706795825</v>
      </c>
      <c r="AG46" s="264">
        <f t="shared" si="6"/>
        <v>0.15194872022926054</v>
      </c>
      <c r="AH46" s="260">
        <f>report_47_flagged!AV38</f>
        <v>1</v>
      </c>
      <c r="AI46" s="264">
        <f>(report_47_flagged!T38/100)*report_47_flagged!H38</f>
        <v>3.7102980496425095</v>
      </c>
      <c r="AJ46" s="264">
        <f t="shared" si="7"/>
        <v>0.18181823358792648</v>
      </c>
      <c r="AK46" s="260">
        <f>report_47_flagged!AX38</f>
        <v>1</v>
      </c>
    </row>
    <row r="47" spans="1:37" ht="15.5">
      <c r="A47" s="59">
        <v>2021</v>
      </c>
      <c r="B47" s="59" t="str">
        <f>LEFT(report_47_flagged!B39,2)</f>
        <v>47</v>
      </c>
      <c r="C47" s="59">
        <f>report_47_flagged!E39</f>
        <v>2000</v>
      </c>
      <c r="D47" s="260">
        <f>report_47_flagged!AM39</f>
        <v>2207.9</v>
      </c>
      <c r="E47" s="59" t="str">
        <f>report_47_flagged!D39</f>
        <v>McLane-PARFLUX-Mark78H-21 ; frame# 14182, funnel# 874, controller# 11741-01 and Motor # 14182-02 Cup set Ex21</v>
      </c>
      <c r="H47" s="59">
        <f>report_47_flagged!C39</f>
        <v>13</v>
      </c>
      <c r="I47" s="59">
        <f>report_47_flagged!F39</f>
        <v>1</v>
      </c>
      <c r="J47" s="66">
        <f>report_47_flagged!AC39</f>
        <v>44519</v>
      </c>
      <c r="K47" s="66">
        <f>report_47_flagged!AD39</f>
        <v>44536</v>
      </c>
      <c r="L47" s="66">
        <f>report_47_flagged!AE39</f>
        <v>44527.5</v>
      </c>
      <c r="M47" s="260">
        <f>report_47_flagged!AF39</f>
        <v>17</v>
      </c>
      <c r="N47" s="261">
        <f>report_47_flagged!H39</f>
        <v>90.537815126050432</v>
      </c>
      <c r="O47" s="261">
        <f t="shared" si="0"/>
        <v>5.4322689075630252E-2</v>
      </c>
      <c r="P47" s="261">
        <f>report_47_flagged!J39</f>
        <v>1</v>
      </c>
      <c r="Q47" s="262">
        <f>report_47_flagged!BA39</f>
        <v>40.4</v>
      </c>
      <c r="R47" s="262">
        <f t="shared" si="1"/>
        <v>0.88879999999999992</v>
      </c>
      <c r="S47" s="263">
        <f>report_47_flagged!BB39</f>
        <v>1</v>
      </c>
      <c r="T47" s="262">
        <f>report_47_flagged!BC39</f>
        <v>8.5500000000000007</v>
      </c>
      <c r="U47" s="262">
        <f t="shared" si="2"/>
        <v>0.24795000000000003</v>
      </c>
      <c r="V47" s="263">
        <f>report_47_flagged!BD39</f>
        <v>1</v>
      </c>
      <c r="W47" s="264">
        <f>(report_47_flagged!N39/100)*report_47_flagged!H39</f>
        <v>12.129246899901318</v>
      </c>
      <c r="X47" s="264">
        <f t="shared" si="3"/>
        <v>0.25481812866266962</v>
      </c>
      <c r="Y47" s="260">
        <f>report_47_flagged!AP39</f>
        <v>1</v>
      </c>
      <c r="Z47" s="264">
        <f>(report_47_flagged!P39/100)*report_47_flagged!H39</f>
        <v>0.59145266690174081</v>
      </c>
      <c r="AA47" s="264">
        <f t="shared" si="4"/>
        <v>2.2478002785567688E-2</v>
      </c>
      <c r="AB47" s="260">
        <f>report_47_flagged!AR39</f>
        <v>1</v>
      </c>
      <c r="AC47" s="264">
        <f>(report_47_flagged!R39/100)*report_47_flagged!H39</f>
        <v>4.1717463417716916</v>
      </c>
      <c r="AD47" s="264">
        <f t="shared" si="5"/>
        <v>0.11683571286101463</v>
      </c>
      <c r="AE47" s="260">
        <f>report_47_flagged!AT39</f>
        <v>1</v>
      </c>
      <c r="AF47" s="264">
        <f>(report_47_flagged!L39/100)*report_47_flagged!H39</f>
        <v>7.9575005581296283</v>
      </c>
      <c r="AG47" s="264">
        <f t="shared" si="6"/>
        <v>0.15126787866671623</v>
      </c>
      <c r="AH47" s="260">
        <f>report_47_flagged!AV39</f>
        <v>1</v>
      </c>
      <c r="AI47" s="264">
        <f>(report_47_flagged!T39/100)*report_47_flagged!H39</f>
        <v>3.8911011659980188</v>
      </c>
      <c r="AJ47" s="264">
        <f t="shared" si="7"/>
        <v>0.19067825043916525</v>
      </c>
      <c r="AK47" s="260">
        <f>report_47_flagged!AX39</f>
        <v>1</v>
      </c>
    </row>
    <row r="48" spans="1:37" ht="15.5">
      <c r="A48" s="59">
        <v>2021</v>
      </c>
      <c r="B48" s="59" t="str">
        <f>LEFT(report_47_flagged!B40,2)</f>
        <v>47</v>
      </c>
      <c r="C48" s="59">
        <f>report_47_flagged!E40</f>
        <v>2000</v>
      </c>
      <c r="D48" s="260">
        <f>report_47_flagged!AM40</f>
        <v>2207.9</v>
      </c>
      <c r="E48" s="59" t="str">
        <f>report_47_flagged!D40</f>
        <v>McLane-PARFLUX-Mark78H-21 ; frame# 14182, funnel# 874, controller# 11741-01 and Motor # 14182-02 Cup set Ex21</v>
      </c>
      <c r="H48" s="59">
        <f>report_47_flagged!C40</f>
        <v>14</v>
      </c>
      <c r="I48" s="59">
        <f>report_47_flagged!F40</f>
        <v>1</v>
      </c>
      <c r="J48" s="66">
        <f>report_47_flagged!AC40</f>
        <v>44536</v>
      </c>
      <c r="K48" s="66">
        <f>report_47_flagged!AD40</f>
        <v>44553</v>
      </c>
      <c r="L48" s="66">
        <f>report_47_flagged!AE40</f>
        <v>44544.5</v>
      </c>
      <c r="M48" s="260">
        <f>report_47_flagged!AF40</f>
        <v>17</v>
      </c>
      <c r="N48" s="261">
        <f>report_47_flagged!H40</f>
        <v>102.03697478991596</v>
      </c>
      <c r="O48" s="261">
        <f t="shared" si="0"/>
        <v>6.1222184873949571E-2</v>
      </c>
      <c r="P48" s="261">
        <f>report_47_flagged!J40</f>
        <v>1</v>
      </c>
      <c r="Q48" s="262">
        <f>report_47_flagged!BA40</f>
        <v>40.29</v>
      </c>
      <c r="R48" s="262">
        <f t="shared" si="1"/>
        <v>0.88637999999999995</v>
      </c>
      <c r="S48" s="263">
        <f>report_47_flagged!BB40</f>
        <v>1</v>
      </c>
      <c r="T48" s="262">
        <f>report_47_flagged!BC40</f>
        <v>8.56</v>
      </c>
      <c r="U48" s="262">
        <f t="shared" si="2"/>
        <v>0.24824000000000002</v>
      </c>
      <c r="V48" s="263">
        <f>report_47_flagged!BD40</f>
        <v>1</v>
      </c>
      <c r="W48" s="264">
        <f>(report_47_flagged!N40/100)*report_47_flagged!H40</f>
        <v>12.778409288550625</v>
      </c>
      <c r="X48" s="264">
        <f t="shared" si="3"/>
        <v>0.26845610193825281</v>
      </c>
      <c r="Y48" s="260">
        <f>report_47_flagged!AP40</f>
        <v>1</v>
      </c>
      <c r="Z48" s="264">
        <f>(report_47_flagged!P40/100)*report_47_flagged!H40</f>
        <v>0.57459445168791701</v>
      </c>
      <c r="AA48" s="264">
        <f t="shared" si="4"/>
        <v>2.1837310757715212E-2</v>
      </c>
      <c r="AB48" s="260">
        <f>report_47_flagged!AR40</f>
        <v>1</v>
      </c>
      <c r="AC48" s="264">
        <f>(report_47_flagged!R40/100)*report_47_flagged!H40</f>
        <v>4.0457766583312349</v>
      </c>
      <c r="AD48" s="264">
        <f t="shared" si="5"/>
        <v>0.11330775201251499</v>
      </c>
      <c r="AE48" s="260">
        <f>report_47_flagged!AT40</f>
        <v>1</v>
      </c>
      <c r="AF48" s="264">
        <f>(report_47_flagged!L40/100)*report_47_flagged!H40</f>
        <v>8.7326326302193902</v>
      </c>
      <c r="AG48" s="264">
        <f t="shared" si="6"/>
        <v>0.16600272956305273</v>
      </c>
      <c r="AH48" s="260">
        <f>report_47_flagged!AV40</f>
        <v>1</v>
      </c>
      <c r="AI48" s="264">
        <f>(report_47_flagged!T40/100)*report_47_flagged!H40</f>
        <v>6.1370662532569682</v>
      </c>
      <c r="AJ48" s="264">
        <f t="shared" si="7"/>
        <v>0.30073878988960667</v>
      </c>
      <c r="AK48" s="260">
        <f>report_47_flagged!AX40</f>
        <v>1</v>
      </c>
    </row>
    <row r="49" spans="1:37" ht="15.5">
      <c r="A49" s="59">
        <v>2021</v>
      </c>
      <c r="B49" s="59" t="str">
        <f>LEFT(report_47_flagged!B41,2)</f>
        <v>47</v>
      </c>
      <c r="C49" s="59">
        <f>report_47_flagged!E41</f>
        <v>2000</v>
      </c>
      <c r="D49" s="260">
        <f>report_47_flagged!AM41</f>
        <v>2207.9</v>
      </c>
      <c r="E49" s="59" t="str">
        <f>report_47_flagged!D41</f>
        <v>McLane-PARFLUX-Mark78H-21 ; frame# 14182, funnel# 874, controller# 11741-01 and Motor # 14182-02 Cup set Ex21</v>
      </c>
      <c r="H49" s="59">
        <f>report_47_flagged!C41</f>
        <v>15</v>
      </c>
      <c r="I49" s="59">
        <f>report_47_flagged!F41</f>
        <v>1</v>
      </c>
      <c r="J49" s="66">
        <f>report_47_flagged!AC41</f>
        <v>44553</v>
      </c>
      <c r="K49" s="66">
        <f>report_47_flagged!AD41</f>
        <v>44570</v>
      </c>
      <c r="L49" s="66">
        <f>report_47_flagged!AE41</f>
        <v>44561.5</v>
      </c>
      <c r="M49" s="260">
        <f>report_47_flagged!AF41</f>
        <v>17</v>
      </c>
      <c r="N49" s="261">
        <f>report_47_flagged!H41</f>
        <v>96.302521008403374</v>
      </c>
      <c r="O49" s="261">
        <f t="shared" si="0"/>
        <v>5.7781512605042017E-2</v>
      </c>
      <c r="P49" s="261">
        <f>report_47_flagged!J41</f>
        <v>1</v>
      </c>
      <c r="Q49" s="262">
        <f>report_47_flagged!BA41</f>
        <v>39.74</v>
      </c>
      <c r="R49" s="262">
        <f t="shared" si="1"/>
        <v>0.87427999999999995</v>
      </c>
      <c r="S49" s="263">
        <f>report_47_flagged!BB41</f>
        <v>1</v>
      </c>
      <c r="T49" s="262">
        <f>report_47_flagged!BC41</f>
        <v>8.48</v>
      </c>
      <c r="U49" s="262">
        <f t="shared" si="2"/>
        <v>0.24592000000000003</v>
      </c>
      <c r="V49" s="263">
        <f>report_47_flagged!BD41</f>
        <v>1</v>
      </c>
      <c r="W49" s="264">
        <f>(report_47_flagged!N41/100)*report_47_flagged!H41</f>
        <v>13.225331554893689</v>
      </c>
      <c r="X49" s="264">
        <f t="shared" si="3"/>
        <v>0.27784529951227083</v>
      </c>
      <c r="Y49" s="260">
        <f>report_47_flagged!AP41</f>
        <v>1</v>
      </c>
      <c r="Z49" s="264">
        <f>(report_47_flagged!P41/100)*report_47_flagged!H41</f>
        <v>1.0717849851656363</v>
      </c>
      <c r="AA49" s="264">
        <f t="shared" si="4"/>
        <v>4.0732905996153326E-2</v>
      </c>
      <c r="AB49" s="260">
        <f>report_47_flagged!AR41</f>
        <v>1</v>
      </c>
      <c r="AC49" s="264">
        <f>(report_47_flagged!R41/100)*report_47_flagged!H41</f>
        <v>6.0429187022107156</v>
      </c>
      <c r="AD49" s="264">
        <f t="shared" si="5"/>
        <v>0.16924056653792241</v>
      </c>
      <c r="AE49" s="260">
        <f>report_47_flagged!AT41</f>
        <v>1</v>
      </c>
      <c r="AF49" s="264">
        <f>(report_47_flagged!L41/100)*report_47_flagged!H41</f>
        <v>7.1824128526829725</v>
      </c>
      <c r="AG49" s="264">
        <f t="shared" si="6"/>
        <v>0.13653387115680959</v>
      </c>
      <c r="AH49" s="260">
        <f>report_47_flagged!AV41</f>
        <v>1</v>
      </c>
      <c r="AI49" s="264">
        <f>(report_47_flagged!T41/100)*report_47_flagged!H41</f>
        <v>7.180922880205121</v>
      </c>
      <c r="AJ49" s="264">
        <f t="shared" si="7"/>
        <v>0.35189159904170458</v>
      </c>
      <c r="AK49" s="260">
        <f>report_47_flagged!AX41</f>
        <v>1</v>
      </c>
    </row>
    <row r="50" spans="1:37" ht="15.5">
      <c r="A50" s="59">
        <v>2021</v>
      </c>
      <c r="B50" s="59" t="str">
        <f>LEFT(report_47_flagged!B42,2)</f>
        <v>47</v>
      </c>
      <c r="C50" s="59">
        <f>report_47_flagged!E42</f>
        <v>2000</v>
      </c>
      <c r="D50" s="260">
        <f>report_47_flagged!AM42</f>
        <v>2207.9</v>
      </c>
      <c r="E50" s="59" t="str">
        <f>report_47_flagged!D42</f>
        <v>McLane-PARFLUX-Mark78H-21 ; frame# 14182, funnel# 874, controller# 11741-01 and Motor # 14182-02 Cup set Ex21</v>
      </c>
      <c r="H50" s="59">
        <f>report_47_flagged!C42</f>
        <v>16</v>
      </c>
      <c r="I50" s="59">
        <f>report_47_flagged!F42</f>
        <v>1</v>
      </c>
      <c r="J50" s="66">
        <f>report_47_flagged!AC42</f>
        <v>44570</v>
      </c>
      <c r="K50" s="66">
        <f>report_47_flagged!AD42</f>
        <v>44587</v>
      </c>
      <c r="L50" s="66">
        <f>report_47_flagged!AE42</f>
        <v>44578.5</v>
      </c>
      <c r="M50" s="260">
        <f>report_47_flagged!AF42</f>
        <v>17</v>
      </c>
      <c r="N50" s="261">
        <f>report_47_flagged!H42</f>
        <v>201.53781512605045</v>
      </c>
      <c r="O50" s="261">
        <f t="shared" si="0"/>
        <v>0.12092268907563025</v>
      </c>
      <c r="P50" s="261">
        <f>report_47_flagged!J42</f>
        <v>1</v>
      </c>
      <c r="Q50" s="262">
        <f>report_47_flagged!BA42</f>
        <v>39.159999999999997</v>
      </c>
      <c r="R50" s="262">
        <f t="shared" si="1"/>
        <v>0.86151999999999984</v>
      </c>
      <c r="S50" s="263">
        <f>report_47_flagged!BB42</f>
        <v>1</v>
      </c>
      <c r="T50" s="262">
        <f>report_47_flagged!BC42</f>
        <v>8.4499999999999993</v>
      </c>
      <c r="U50" s="262">
        <f t="shared" si="2"/>
        <v>0.24504999999999999</v>
      </c>
      <c r="V50" s="263">
        <f>report_47_flagged!BD42</f>
        <v>1</v>
      </c>
      <c r="W50" s="264">
        <f>(report_47_flagged!N42/100)*report_47_flagged!H42</f>
        <v>25.725299501258792</v>
      </c>
      <c r="X50" s="264">
        <f t="shared" si="3"/>
        <v>0.54045174711142252</v>
      </c>
      <c r="Y50" s="260">
        <f>report_47_flagged!AP42</f>
        <v>1</v>
      </c>
      <c r="Z50" s="264">
        <f>(report_47_flagged!P42/100)*report_47_flagged!H42</f>
        <v>2.1067675325449775</v>
      </c>
      <c r="AA50" s="264">
        <f t="shared" si="4"/>
        <v>8.006714503995449E-2</v>
      </c>
      <c r="AB50" s="260">
        <f>report_47_flagged!AR42</f>
        <v>1</v>
      </c>
      <c r="AC50" s="264">
        <f>(report_47_flagged!R42/100)*report_47_flagged!H42</f>
        <v>14.633343544494364</v>
      </c>
      <c r="AD50" s="264">
        <f t="shared" si="5"/>
        <v>0.40982767994351194</v>
      </c>
      <c r="AE50" s="260">
        <f>report_47_flagged!AT42</f>
        <v>1</v>
      </c>
      <c r="AF50" s="264">
        <f>(report_47_flagged!L42/100)*report_47_flagged!H42</f>
        <v>11.091955956764425</v>
      </c>
      <c r="AG50" s="264">
        <f t="shared" si="6"/>
        <v>0.21085221868193918</v>
      </c>
      <c r="AH50" s="260">
        <f>report_47_flagged!AV42</f>
        <v>1</v>
      </c>
      <c r="AI50" s="264">
        <f>(report_47_flagged!T42/100)*report_47_flagged!H42</f>
        <v>27.449276727832832</v>
      </c>
      <c r="AJ50" s="264">
        <f t="shared" si="7"/>
        <v>1.3451153899621648</v>
      </c>
      <c r="AK50" s="260">
        <f>report_47_flagged!AX42</f>
        <v>2</v>
      </c>
    </row>
    <row r="51" spans="1:37" ht="15.5">
      <c r="A51" s="59">
        <v>2021</v>
      </c>
      <c r="B51" s="59" t="str">
        <f>LEFT(report_47_flagged!B43,2)</f>
        <v>47</v>
      </c>
      <c r="C51" s="59">
        <f>report_47_flagged!E43</f>
        <v>2000</v>
      </c>
      <c r="D51" s="260">
        <f>report_47_flagged!AM43</f>
        <v>2207.9</v>
      </c>
      <c r="E51" s="59" t="str">
        <f>report_47_flagged!D43</f>
        <v>McLane-PARFLUX-Mark78H-21 ; frame# 14182, funnel# 874, controller# 11741-01 and Motor # 14182-02 Cup set Ex21</v>
      </c>
      <c r="H51" s="59">
        <f>report_47_flagged!C43</f>
        <v>17</v>
      </c>
      <c r="I51" s="59">
        <f>report_47_flagged!F43</f>
        <v>1</v>
      </c>
      <c r="J51" s="66">
        <f>report_47_flagged!AC43</f>
        <v>44587</v>
      </c>
      <c r="K51" s="66">
        <f>report_47_flagged!AD43</f>
        <v>44604</v>
      </c>
      <c r="L51" s="66">
        <f>report_47_flagged!AE43</f>
        <v>44595.5</v>
      </c>
      <c r="M51" s="260">
        <f>report_47_flagged!AF43</f>
        <v>17</v>
      </c>
      <c r="N51" s="261">
        <f>report_47_flagged!H43</f>
        <v>135.71428571428572</v>
      </c>
      <c r="O51" s="261">
        <f t="shared" si="0"/>
        <v>8.142857142857142E-2</v>
      </c>
      <c r="P51" s="261">
        <f>report_47_flagged!J43</f>
        <v>1</v>
      </c>
      <c r="Q51" s="262">
        <f>report_47_flagged!BA43</f>
        <v>39.54</v>
      </c>
      <c r="R51" s="262">
        <f t="shared" si="1"/>
        <v>0.86987999999999988</v>
      </c>
      <c r="S51" s="263">
        <f>report_47_flagged!BB43</f>
        <v>1</v>
      </c>
      <c r="T51" s="262">
        <f>report_47_flagged!BC43</f>
        <v>8.52</v>
      </c>
      <c r="U51" s="262">
        <f t="shared" si="2"/>
        <v>0.24707999999999999</v>
      </c>
      <c r="V51" s="263">
        <f>report_47_flagged!BD43</f>
        <v>1</v>
      </c>
      <c r="W51" s="264">
        <f>(report_47_flagged!N43/100)*report_47_flagged!H43</f>
        <v>17.409772293908254</v>
      </c>
      <c r="X51" s="264">
        <f t="shared" si="3"/>
        <v>0.36575441434974726</v>
      </c>
      <c r="Y51" s="260">
        <f>report_47_flagged!AP43</f>
        <v>1</v>
      </c>
      <c r="Z51" s="264">
        <f>(report_47_flagged!P43/100)*report_47_flagged!H43</f>
        <v>1.4209077698843822</v>
      </c>
      <c r="AA51" s="264">
        <f t="shared" si="4"/>
        <v>5.4001225451912674E-2</v>
      </c>
      <c r="AB51" s="260">
        <f>report_47_flagged!AR43</f>
        <v>1</v>
      </c>
      <c r="AC51" s="264">
        <f>(report_47_flagged!R43/100)*report_47_flagged!H43</f>
        <v>9.6709340964101553</v>
      </c>
      <c r="AD51" s="264">
        <f t="shared" si="5"/>
        <v>0.27084831785484664</v>
      </c>
      <c r="AE51" s="260">
        <f>report_47_flagged!AT43</f>
        <v>1</v>
      </c>
      <c r="AF51" s="264">
        <f>(report_47_flagged!L43/100)*report_47_flagged!H43</f>
        <v>7.7388381974981026</v>
      </c>
      <c r="AG51" s="264">
        <f t="shared" si="6"/>
        <v>0.14711122279275651</v>
      </c>
      <c r="AH51" s="260">
        <f>report_47_flagged!AV43</f>
        <v>1</v>
      </c>
      <c r="AI51" s="264">
        <f>(report_47_flagged!T43/100)*report_47_flagged!H43</f>
        <v>17.175869331410201</v>
      </c>
      <c r="AJ51" s="264">
        <f t="shared" si="7"/>
        <v>0.84168068990439604</v>
      </c>
      <c r="AK51" s="260">
        <f>report_47_flagged!AX43</f>
        <v>3</v>
      </c>
    </row>
    <row r="52" spans="1:37" ht="15.5">
      <c r="A52" s="59">
        <v>2021</v>
      </c>
      <c r="B52" s="59" t="str">
        <f>LEFT(report_47_flagged!B44,2)</f>
        <v>47</v>
      </c>
      <c r="C52" s="59">
        <f>report_47_flagged!E44</f>
        <v>2000</v>
      </c>
      <c r="D52" s="260">
        <f>report_47_flagged!AM44</f>
        <v>2207.9</v>
      </c>
      <c r="E52" s="59" t="str">
        <f>report_47_flagged!D44</f>
        <v>McLane-PARFLUX-Mark78H-21 ; frame# 14182, funnel# 874, controller# 11741-01 and Motor # 14182-02 Cup set Ex21</v>
      </c>
      <c r="H52" s="59">
        <f>report_47_flagged!C44</f>
        <v>18</v>
      </c>
      <c r="I52" s="59">
        <f>report_47_flagged!F44</f>
        <v>1</v>
      </c>
      <c r="J52" s="66">
        <f>report_47_flagged!AC44</f>
        <v>44604</v>
      </c>
      <c r="K52" s="66">
        <f>report_47_flagged!AD44</f>
        <v>44621</v>
      </c>
      <c r="L52" s="66">
        <f>report_47_flagged!AE44</f>
        <v>44612.5</v>
      </c>
      <c r="M52" s="260">
        <f>report_47_flagged!AF44</f>
        <v>17</v>
      </c>
      <c r="N52" s="261">
        <f>report_47_flagged!H44</f>
        <v>84.779831932773135</v>
      </c>
      <c r="O52" s="261">
        <f t="shared" si="0"/>
        <v>5.0867899159663874E-2</v>
      </c>
      <c r="P52" s="261">
        <f>report_47_flagged!J44</f>
        <v>1</v>
      </c>
      <c r="Q52" s="262">
        <f>report_47_flagged!BA44</f>
        <v>40.119999999999997</v>
      </c>
      <c r="R52" s="262">
        <f t="shared" si="1"/>
        <v>0.88263999999999987</v>
      </c>
      <c r="S52" s="263">
        <f>report_47_flagged!BB44</f>
        <v>1</v>
      </c>
      <c r="T52" s="262">
        <f>report_47_flagged!BC44</f>
        <v>8.5500000000000007</v>
      </c>
      <c r="U52" s="262">
        <f t="shared" si="2"/>
        <v>0.24795000000000003</v>
      </c>
      <c r="V52" s="263">
        <f>report_47_flagged!BD44</f>
        <v>1</v>
      </c>
      <c r="W52" s="264">
        <f>(report_47_flagged!N44/100)*report_47_flagged!H44</f>
        <v>12.419415509648687</v>
      </c>
      <c r="X52" s="264">
        <f t="shared" si="3"/>
        <v>0.26091415611949997</v>
      </c>
      <c r="Y52" s="260">
        <f>report_47_flagged!AP44</f>
        <v>1</v>
      </c>
      <c r="Z52" s="264">
        <f>(report_47_flagged!P44/100)*report_47_flagged!H44</f>
        <v>1.0242960646893799</v>
      </c>
      <c r="AA52" s="264">
        <f t="shared" si="4"/>
        <v>3.892810208455607E-2</v>
      </c>
      <c r="AB52" s="260">
        <f>report_47_flagged!AR44</f>
        <v>1</v>
      </c>
      <c r="AC52" s="264">
        <f>(report_47_flagged!R44/100)*report_47_flagged!H44</f>
        <v>7.151422056426739</v>
      </c>
      <c r="AD52" s="264">
        <f t="shared" si="5"/>
        <v>0.20028578573110381</v>
      </c>
      <c r="AE52" s="260">
        <f>report_47_flagged!AT44</f>
        <v>1</v>
      </c>
      <c r="AF52" s="264">
        <f>(report_47_flagged!L44/100)*report_47_flagged!H44</f>
        <v>5.2679934532219477</v>
      </c>
      <c r="AG52" s="264">
        <f t="shared" si="6"/>
        <v>0.10014177048155123</v>
      </c>
      <c r="AH52" s="260">
        <f>report_47_flagged!AV44</f>
        <v>1</v>
      </c>
      <c r="AI52" s="264">
        <f>(report_47_flagged!T44/100)*report_47_flagged!H44</f>
        <v>7.5379432749309192</v>
      </c>
      <c r="AJ52" s="264">
        <f t="shared" si="7"/>
        <v>0.36938690983760231</v>
      </c>
      <c r="AK52" s="260">
        <f>report_47_flagged!AX44</f>
        <v>3</v>
      </c>
    </row>
    <row r="53" spans="1:37" ht="15.5">
      <c r="A53" s="59">
        <v>2021</v>
      </c>
      <c r="B53" s="59" t="str">
        <f>LEFT(report_47_flagged!B45,2)</f>
        <v>47</v>
      </c>
      <c r="C53" s="59">
        <f>report_47_flagged!E45</f>
        <v>2000</v>
      </c>
      <c r="D53" s="260">
        <f>report_47_flagged!AM45</f>
        <v>2207.9</v>
      </c>
      <c r="E53" s="59" t="str">
        <f>report_47_flagged!D45</f>
        <v>McLane-PARFLUX-Mark78H-21 ; frame# 14182, funnel# 874, controller# 11741-01 and Motor # 14182-02 Cup set Ex21</v>
      </c>
      <c r="H53" s="59">
        <f>report_47_flagged!C45</f>
        <v>19</v>
      </c>
      <c r="I53" s="59">
        <f>report_47_flagged!F45</f>
        <v>1</v>
      </c>
      <c r="J53" s="66">
        <f>report_47_flagged!AC45</f>
        <v>44621</v>
      </c>
      <c r="K53" s="66">
        <f>report_47_flagged!AD45</f>
        <v>44638</v>
      </c>
      <c r="L53" s="66">
        <f>report_47_flagged!AE45</f>
        <v>44629.5</v>
      </c>
      <c r="M53" s="260">
        <f>report_47_flagged!AF45</f>
        <v>17</v>
      </c>
      <c r="N53" s="261">
        <f>report_47_flagged!H45</f>
        <v>52.994957983193274</v>
      </c>
      <c r="O53" s="261">
        <f t="shared" si="0"/>
        <v>3.1796974789915965E-2</v>
      </c>
      <c r="P53" s="261">
        <f>report_47_flagged!J45</f>
        <v>1</v>
      </c>
      <c r="Q53" s="262">
        <f>report_47_flagged!BA45</f>
        <v>40.25</v>
      </c>
      <c r="R53" s="262">
        <f t="shared" si="1"/>
        <v>0.88549999999999995</v>
      </c>
      <c r="S53" s="263">
        <f>report_47_flagged!BB45</f>
        <v>1</v>
      </c>
      <c r="T53" s="262">
        <f>report_47_flagged!BC45</f>
        <v>8.57</v>
      </c>
      <c r="U53" s="262">
        <f t="shared" si="2"/>
        <v>0.24853000000000003</v>
      </c>
      <c r="V53" s="263">
        <f>report_47_flagged!BD45</f>
        <v>1</v>
      </c>
      <c r="W53" s="264">
        <f>(report_47_flagged!N45/100)*report_47_flagged!H45</f>
        <v>7.4855393313239604</v>
      </c>
      <c r="X53" s="264">
        <f t="shared" si="3"/>
        <v>0.15726047463460419</v>
      </c>
      <c r="Y53" s="260">
        <f>report_47_flagged!AP45</f>
        <v>1</v>
      </c>
      <c r="Z53" s="264">
        <f>(report_47_flagged!P45/100)*report_47_flagged!H45</f>
        <v>0.56548193054840346</v>
      </c>
      <c r="AA53" s="264">
        <f t="shared" si="4"/>
        <v>2.1490991792529855E-2</v>
      </c>
      <c r="AB53" s="260">
        <f>report_47_flagged!AR45</f>
        <v>1</v>
      </c>
      <c r="AC53" s="264">
        <f>(report_47_flagged!R45/100)*report_47_flagged!H45</f>
        <v>3.6775285885837063</v>
      </c>
      <c r="AD53" s="264">
        <f t="shared" si="5"/>
        <v>0.10299443902225942</v>
      </c>
      <c r="AE53" s="260">
        <f>report_47_flagged!AT45</f>
        <v>1</v>
      </c>
      <c r="AF53" s="264">
        <f>(report_47_flagged!L45/100)*report_47_flagged!H45</f>
        <v>3.8080107427402536</v>
      </c>
      <c r="AG53" s="264">
        <f t="shared" si="6"/>
        <v>7.2388271013804073E-2</v>
      </c>
      <c r="AH53" s="260">
        <f>report_47_flagged!AV45</f>
        <v>1</v>
      </c>
      <c r="AI53" s="264">
        <f>(report_47_flagged!T45/100)*report_47_flagged!H45</f>
        <v>4.2131708402675079</v>
      </c>
      <c r="AJ53" s="264">
        <f t="shared" si="7"/>
        <v>0.20646084754711444</v>
      </c>
      <c r="AK53" s="260">
        <f>report_47_flagged!AX45</f>
        <v>3</v>
      </c>
    </row>
    <row r="54" spans="1:37" ht="15.5">
      <c r="A54" s="59">
        <v>2021</v>
      </c>
      <c r="B54" s="59" t="str">
        <f>LEFT(report_47_flagged!B46,2)</f>
        <v>47</v>
      </c>
      <c r="C54" s="59">
        <f>report_47_flagged!E46</f>
        <v>2000</v>
      </c>
      <c r="D54" s="260">
        <f>report_47_flagged!AM46</f>
        <v>2207.9</v>
      </c>
      <c r="E54" s="59" t="str">
        <f>report_47_flagged!D46</f>
        <v>McLane-PARFLUX-Mark78H-21 ; frame# 14182, funnel# 874, controller# 11741-01 and Motor # 14182-02 Cup set Ex21</v>
      </c>
      <c r="H54" s="59">
        <f>report_47_flagged!C46</f>
        <v>20</v>
      </c>
      <c r="I54" s="59">
        <f>report_47_flagged!F46</f>
        <v>1</v>
      </c>
      <c r="J54" s="66">
        <f>report_47_flagged!AC46</f>
        <v>44638</v>
      </c>
      <c r="K54" s="66">
        <f>report_47_flagged!AD46</f>
        <v>44655</v>
      </c>
      <c r="L54" s="66">
        <f>report_47_flagged!AE46</f>
        <v>44646.5</v>
      </c>
      <c r="M54" s="260">
        <f>report_47_flagged!AF46</f>
        <v>17</v>
      </c>
      <c r="N54" s="261">
        <f>report_47_flagged!H46</f>
        <v>36.386554621848745</v>
      </c>
      <c r="O54" s="261">
        <f t="shared" si="0"/>
        <v>2.1831932773109245E-2</v>
      </c>
      <c r="P54" s="261">
        <f>report_47_flagged!J46</f>
        <v>1</v>
      </c>
      <c r="Q54" s="262">
        <f>report_47_flagged!BA46</f>
        <v>40.53</v>
      </c>
      <c r="R54" s="262">
        <f t="shared" si="1"/>
        <v>0.89166000000000001</v>
      </c>
      <c r="S54" s="263">
        <f>report_47_flagged!BB46</f>
        <v>1</v>
      </c>
      <c r="T54" s="262">
        <f>report_47_flagged!BC46</f>
        <v>8.58</v>
      </c>
      <c r="U54" s="262">
        <f t="shared" si="2"/>
        <v>0.24882000000000001</v>
      </c>
      <c r="V54" s="263">
        <f>report_47_flagged!BD46</f>
        <v>1</v>
      </c>
      <c r="W54" s="264">
        <f>(report_47_flagged!N46/100)*report_47_flagged!H46</f>
        <v>4.9911794422053504</v>
      </c>
      <c r="X54" s="264">
        <f t="shared" si="3"/>
        <v>0.10485754109702408</v>
      </c>
      <c r="Y54" s="260">
        <f>report_47_flagged!AP46</f>
        <v>1</v>
      </c>
      <c r="Z54" s="264">
        <f>(report_47_flagged!P46/100)*report_47_flagged!H46</f>
        <v>0.32197159949470971</v>
      </c>
      <c r="AA54" s="264">
        <f t="shared" si="4"/>
        <v>1.2236445814383507E-2</v>
      </c>
      <c r="AB54" s="260">
        <f>report_47_flagged!AR46</f>
        <v>1</v>
      </c>
      <c r="AC54" s="264">
        <f>(report_47_flagged!R46/100)*report_47_flagged!H46</f>
        <v>2.2117659690884848</v>
      </c>
      <c r="AD54" s="264">
        <f t="shared" si="5"/>
        <v>6.1943663998142537E-2</v>
      </c>
      <c r="AE54" s="260">
        <f>report_47_flagged!AT46</f>
        <v>1</v>
      </c>
      <c r="AF54" s="264">
        <f>(report_47_flagged!L46/100)*report_47_flagged!H46</f>
        <v>2.7794134731168647</v>
      </c>
      <c r="AG54" s="264">
        <f t="shared" si="6"/>
        <v>5.2835180713439962E-2</v>
      </c>
      <c r="AH54" s="260">
        <f>report_47_flagged!AV46</f>
        <v>1</v>
      </c>
      <c r="AI54" s="264">
        <f>(report_47_flagged!T46/100)*report_47_flagged!H46</f>
        <v>2.6630233305730089</v>
      </c>
      <c r="AJ54" s="264">
        <f t="shared" si="7"/>
        <v>0.13049792536609642</v>
      </c>
      <c r="AK54" s="260">
        <f>report_47_flagged!AX46</f>
        <v>3</v>
      </c>
    </row>
    <row r="55" spans="1:37" ht="15.5">
      <c r="A55" s="59">
        <v>2021</v>
      </c>
      <c r="B55" s="59" t="str">
        <f>LEFT(report_47_flagged!B47,2)</f>
        <v>47</v>
      </c>
      <c r="C55" s="59">
        <f>report_47_flagged!E47</f>
        <v>2000</v>
      </c>
      <c r="D55" s="260">
        <f>report_47_flagged!AM47</f>
        <v>2207.9</v>
      </c>
      <c r="E55" s="59" t="str">
        <f>report_47_flagged!D47</f>
        <v>McLane-PARFLUX-Mark78H-21 ; frame# 14182, funnel# 874, controller# 11741-01 and Motor # 14182-02 Cup set Ex21</v>
      </c>
      <c r="H55" s="59">
        <f>report_47_flagged!C47</f>
        <v>21</v>
      </c>
      <c r="I55" s="59">
        <f>report_47_flagged!F47</f>
        <v>1</v>
      </c>
      <c r="J55" s="66">
        <f>report_47_flagged!AC47</f>
        <v>44655</v>
      </c>
      <c r="K55" s="66">
        <f>report_47_flagged!AD47</f>
        <v>44672</v>
      </c>
      <c r="L55" s="66">
        <f>report_47_flagged!AE47</f>
        <v>44663.5</v>
      </c>
      <c r="M55" s="260">
        <f>report_47_flagged!AF47</f>
        <v>17</v>
      </c>
      <c r="N55" s="261">
        <f>report_47_flagged!H47</f>
        <v>24.176470588235293</v>
      </c>
      <c r="O55" s="261">
        <f t="shared" si="0"/>
        <v>1.4505882352941174E-2</v>
      </c>
      <c r="P55" s="261">
        <f>report_47_flagged!J47</f>
        <v>1</v>
      </c>
      <c r="Q55" s="262">
        <f>report_47_flagged!BA47</f>
        <v>40.94</v>
      </c>
      <c r="R55" s="262">
        <f t="shared" si="1"/>
        <v>0.90067999999999993</v>
      </c>
      <c r="S55" s="263">
        <f>report_47_flagged!BB47</f>
        <v>1</v>
      </c>
      <c r="T55" s="262">
        <f>report_47_flagged!BC47</f>
        <v>8.6199999999999992</v>
      </c>
      <c r="U55" s="262">
        <f t="shared" si="2"/>
        <v>0.24997999999999998</v>
      </c>
      <c r="V55" s="263">
        <f>report_47_flagged!BD47</f>
        <v>1</v>
      </c>
      <c r="W55" s="264">
        <f>(report_47_flagged!N47/100)*report_47_flagged!H47</f>
        <v>3.7766607234057257</v>
      </c>
      <c r="X55" s="264">
        <f t="shared" si="3"/>
        <v>7.9342239965440944E-2</v>
      </c>
      <c r="Y55" s="260">
        <f>report_47_flagged!AP47</f>
        <v>1</v>
      </c>
      <c r="Z55" s="264">
        <f>(report_47_flagged!P47/100)*report_47_flagged!H47</f>
        <v>0.30895716526929068</v>
      </c>
      <c r="AA55" s="264">
        <f t="shared" si="4"/>
        <v>1.1741835670339375E-2</v>
      </c>
      <c r="AB55" s="260">
        <f>report_47_flagged!AR47</f>
        <v>1</v>
      </c>
      <c r="AC55" s="264">
        <f>(report_47_flagged!R47/100)*report_47_flagged!H47</f>
        <v>1.9472529735513642</v>
      </c>
      <c r="AD55" s="264">
        <f t="shared" si="5"/>
        <v>5.4535599877576411E-2</v>
      </c>
      <c r="AE55" s="260">
        <f>report_47_flagged!AT47</f>
        <v>1</v>
      </c>
      <c r="AF55" s="264">
        <f>(report_47_flagged!L47/100)*report_47_flagged!H47</f>
        <v>1.8294077498543617</v>
      </c>
      <c r="AG55" s="264">
        <f t="shared" si="6"/>
        <v>3.4776074159894768E-2</v>
      </c>
      <c r="AH55" s="260">
        <f>report_47_flagged!AV47</f>
        <v>1</v>
      </c>
      <c r="AI55" s="264">
        <f>(report_47_flagged!T47/100)*report_47_flagged!H47</f>
        <v>1.4025915586762701</v>
      </c>
      <c r="AJ55" s="264">
        <f t="shared" si="7"/>
        <v>6.8732138559172359E-2</v>
      </c>
      <c r="AK55" s="260">
        <f>report_47_flagged!AX47</f>
        <v>1</v>
      </c>
    </row>
    <row r="56" spans="1:37" ht="15.5">
      <c r="A56" s="59">
        <v>2021</v>
      </c>
      <c r="B56" s="59" t="str">
        <f>LEFT(report_47_flagged!B48,2)</f>
        <v>47</v>
      </c>
      <c r="C56" s="59">
        <f>report_47_flagged!E48</f>
        <v>3800</v>
      </c>
      <c r="D56" s="260">
        <f>report_47_flagged!AM48</f>
        <v>3962.9</v>
      </c>
      <c r="E56" s="59" t="str">
        <f>report_47_flagged!D48</f>
        <v>McLane-PARFLUX-Mark78H-21 ; frame# 10705, controller# 11649-01 and Motor # 11649-01 Cup set Lx21</v>
      </c>
      <c r="H56" s="59">
        <f>report_47_flagged!C48</f>
        <v>1</v>
      </c>
      <c r="I56" s="59">
        <f>report_47_flagged!F48</f>
        <v>1</v>
      </c>
      <c r="J56" s="66">
        <f>report_47_flagged!AC48</f>
        <v>44315</v>
      </c>
      <c r="K56" s="66">
        <f>report_47_flagged!AD48</f>
        <v>44332</v>
      </c>
      <c r="L56" s="66">
        <f>report_47_flagged!AE48</f>
        <v>44323.5</v>
      </c>
      <c r="M56" s="260">
        <f>report_47_flagged!AF48</f>
        <v>17</v>
      </c>
      <c r="N56" s="261">
        <f>report_47_flagged!H48</f>
        <v>47.957983193277322</v>
      </c>
      <c r="O56" s="261">
        <f t="shared" si="0"/>
        <v>2.8774789915966392E-2</v>
      </c>
      <c r="P56" s="261">
        <f>report_47_flagged!J48</f>
        <v>1</v>
      </c>
      <c r="Q56" s="262">
        <f>report_47_flagged!BA48</f>
        <v>38.340000000000003</v>
      </c>
      <c r="R56" s="262">
        <f t="shared" si="1"/>
        <v>0.84348000000000001</v>
      </c>
      <c r="S56" s="263">
        <f>report_47_flagged!BB48</f>
        <v>1</v>
      </c>
      <c r="T56" s="262">
        <f>report_47_flagged!BC48</f>
        <v>8.48</v>
      </c>
      <c r="U56" s="262">
        <f t="shared" si="2"/>
        <v>0.24592000000000003</v>
      </c>
      <c r="V56" s="263">
        <f>report_47_flagged!BD48</f>
        <v>1</v>
      </c>
      <c r="W56" s="264">
        <f>(report_47_flagged!N48/100)*report_47_flagged!H48</f>
        <v>7.232890283841046</v>
      </c>
      <c r="X56" s="264">
        <f t="shared" si="3"/>
        <v>0.15195267951597025</v>
      </c>
      <c r="Y56" s="260">
        <f>report_47_flagged!AP48</f>
        <v>1</v>
      </c>
      <c r="Z56" s="264">
        <f>(report_47_flagged!P48/100)*report_47_flagged!H48</f>
        <v>0.4698687011955166</v>
      </c>
      <c r="AA56" s="264">
        <f t="shared" si="4"/>
        <v>1.7857236200574157E-2</v>
      </c>
      <c r="AB56" s="260">
        <f>report_47_flagged!AR48</f>
        <v>1</v>
      </c>
      <c r="AC56" s="264">
        <f>(report_47_flagged!R48/100)*report_47_flagged!H48</f>
        <v>3.370253822421212</v>
      </c>
      <c r="AD56" s="264">
        <f t="shared" si="5"/>
        <v>9.4388770458635779E-2</v>
      </c>
      <c r="AE56" s="260">
        <f>report_47_flagged!AT48</f>
        <v>1</v>
      </c>
      <c r="AF56" s="264">
        <f>(report_47_flagged!L48/100)*report_47_flagged!H48</f>
        <v>3.862636461419835</v>
      </c>
      <c r="AG56" s="264">
        <f t="shared" si="6"/>
        <v>7.3426677046570632E-2</v>
      </c>
      <c r="AH56" s="260">
        <f>report_47_flagged!AV48</f>
        <v>1</v>
      </c>
      <c r="AI56" s="264">
        <f>(report_47_flagged!T48/100)*report_47_flagged!H48</f>
        <v>1.6295200577937334</v>
      </c>
      <c r="AJ56" s="264">
        <f t="shared" si="7"/>
        <v>7.9852468599577592E-2</v>
      </c>
      <c r="AK56" s="260">
        <f>report_47_flagged!AX48</f>
        <v>1</v>
      </c>
    </row>
    <row r="57" spans="1:37" ht="15.5">
      <c r="A57" s="59">
        <v>2021</v>
      </c>
      <c r="B57" s="59" t="str">
        <f>LEFT(report_47_flagged!B49,2)</f>
        <v>47</v>
      </c>
      <c r="C57" s="59">
        <f>report_47_flagged!E49</f>
        <v>3800</v>
      </c>
      <c r="D57" s="260">
        <f>report_47_flagged!AM49</f>
        <v>3962.9</v>
      </c>
      <c r="E57" s="59" t="str">
        <f>report_47_flagged!D49</f>
        <v>McLane-PARFLUX-Mark78H-21 ; frame# 10705, controller# 11649-01 and Motor # 11649-01 Cup set Lx21</v>
      </c>
      <c r="H57" s="59">
        <f>report_47_flagged!C49</f>
        <v>2</v>
      </c>
      <c r="I57" s="59">
        <f>report_47_flagged!F49</f>
        <v>1</v>
      </c>
      <c r="J57" s="66">
        <f>report_47_flagged!AC49</f>
        <v>44332</v>
      </c>
      <c r="K57" s="66">
        <f>report_47_flagged!AD49</f>
        <v>44349</v>
      </c>
      <c r="L57" s="66">
        <f>report_47_flagged!AE49</f>
        <v>44340.5</v>
      </c>
      <c r="M57" s="260">
        <f>report_47_flagged!AF49</f>
        <v>17</v>
      </c>
      <c r="N57" s="261">
        <f>report_47_flagged!H49</f>
        <v>40.410084033613444</v>
      </c>
      <c r="O57" s="261">
        <f t="shared" si="0"/>
        <v>2.4246050420168065E-2</v>
      </c>
      <c r="P57" s="261">
        <f>report_47_flagged!J49</f>
        <v>1</v>
      </c>
      <c r="Q57" s="262">
        <f>report_47_flagged!BA49</f>
        <v>38.64</v>
      </c>
      <c r="R57" s="262">
        <f t="shared" si="1"/>
        <v>0.85007999999999995</v>
      </c>
      <c r="S57" s="263">
        <f>report_47_flagged!BB49</f>
        <v>1</v>
      </c>
      <c r="T57" s="262">
        <f>report_47_flagged!BC49</f>
        <v>8.6300000000000008</v>
      </c>
      <c r="U57" s="262">
        <f t="shared" si="2"/>
        <v>0.25027000000000005</v>
      </c>
      <c r="V57" s="263">
        <f>report_47_flagged!BD49</f>
        <v>1</v>
      </c>
      <c r="W57" s="264">
        <f>(report_47_flagged!N49/100)*report_47_flagged!H49</f>
        <v>5.4487724925449914</v>
      </c>
      <c r="X57" s="264">
        <f t="shared" si="3"/>
        <v>0.11447091658017455</v>
      </c>
      <c r="Y57" s="260">
        <f>report_47_flagged!AP49</f>
        <v>1</v>
      </c>
      <c r="Z57" s="264">
        <f>(report_47_flagged!P49/100)*report_47_flagged!H49</f>
        <v>0.28031989379289768</v>
      </c>
      <c r="AA57" s="264">
        <f t="shared" si="4"/>
        <v>1.0653483712456733E-2</v>
      </c>
      <c r="AB57" s="260">
        <f>report_47_flagged!AR49</f>
        <v>1</v>
      </c>
      <c r="AC57" s="264">
        <f>(report_47_flagged!R49/100)*report_47_flagged!H49</f>
        <v>1.98946272719843</v>
      </c>
      <c r="AD57" s="264">
        <f t="shared" si="5"/>
        <v>5.5717744296968012E-2</v>
      </c>
      <c r="AE57" s="260">
        <f>report_47_flagged!AT49</f>
        <v>1</v>
      </c>
      <c r="AF57" s="264">
        <f>(report_47_flagged!L49/100)*report_47_flagged!H49</f>
        <v>3.4593097653465614</v>
      </c>
      <c r="AG57" s="264">
        <f t="shared" si="6"/>
        <v>6.5759649783552795E-2</v>
      </c>
      <c r="AH57" s="260">
        <f>report_47_flagged!AV49</f>
        <v>1</v>
      </c>
      <c r="AI57" s="264">
        <f>(report_47_flagged!T49/100)*report_47_flagged!H49</f>
        <v>1.3198518676085829</v>
      </c>
      <c r="AJ57" s="264">
        <f t="shared" si="7"/>
        <v>6.4677589766525614E-2</v>
      </c>
      <c r="AK57" s="260">
        <f>report_47_flagged!AX49</f>
        <v>1</v>
      </c>
    </row>
    <row r="58" spans="1:37" ht="15.5">
      <c r="A58" s="59">
        <v>2021</v>
      </c>
      <c r="B58" s="59" t="str">
        <f>LEFT(report_47_flagged!B50,2)</f>
        <v>47</v>
      </c>
      <c r="C58" s="59">
        <f>report_47_flagged!E50</f>
        <v>3800</v>
      </c>
      <c r="D58" s="260">
        <f>report_47_flagged!AM50</f>
        <v>3962.9</v>
      </c>
      <c r="E58" s="59" t="str">
        <f>report_47_flagged!D50</f>
        <v>McLane-PARFLUX-Mark78H-21 ; frame# 10705, controller# 11649-01 and Motor # 11649-01 Cup set Lx21</v>
      </c>
      <c r="H58" s="59">
        <f>report_47_flagged!C50</f>
        <v>3</v>
      </c>
      <c r="I58" s="59">
        <f>report_47_flagged!F50</f>
        <v>1</v>
      </c>
      <c r="J58" s="66">
        <f>report_47_flagged!AC50</f>
        <v>44349</v>
      </c>
      <c r="K58" s="66">
        <f>report_47_flagged!AD50</f>
        <v>44366</v>
      </c>
      <c r="L58" s="66">
        <f>report_47_flagged!AE50</f>
        <v>44357.5</v>
      </c>
      <c r="M58" s="260">
        <f>report_47_flagged!AF50</f>
        <v>17</v>
      </c>
      <c r="N58" s="261">
        <f>report_47_flagged!H50</f>
        <v>48.557983193277316</v>
      </c>
      <c r="O58" s="261">
        <f t="shared" si="0"/>
        <v>2.9134789915966387E-2</v>
      </c>
      <c r="P58" s="261">
        <f>report_47_flagged!J50</f>
        <v>1</v>
      </c>
      <c r="Q58" s="262">
        <f>report_47_flagged!BA50</f>
        <v>37.515000000000001</v>
      </c>
      <c r="R58" s="262">
        <f t="shared" si="1"/>
        <v>0.82533000000000001</v>
      </c>
      <c r="S58" s="263">
        <f>report_47_flagged!BB50</f>
        <v>1</v>
      </c>
      <c r="T58" s="262">
        <f>report_47_flagged!BC50</f>
        <v>8.57</v>
      </c>
      <c r="U58" s="262">
        <f t="shared" si="2"/>
        <v>0.24853000000000003</v>
      </c>
      <c r="V58" s="263">
        <f>report_47_flagged!BD50</f>
        <v>1</v>
      </c>
      <c r="W58" s="264">
        <f>(report_47_flagged!N50/100)*report_47_flagged!H50</f>
        <v>7.0841434953833842</v>
      </c>
      <c r="X58" s="264">
        <f t="shared" si="3"/>
        <v>0.14882772224597915</v>
      </c>
      <c r="Y58" s="260">
        <f>report_47_flagged!AP50</f>
        <v>1</v>
      </c>
      <c r="Z58" s="264">
        <f>(report_47_flagged!P50/100)*report_47_flagged!H50</f>
        <v>0.45714785919670303</v>
      </c>
      <c r="AA58" s="264">
        <f t="shared" si="4"/>
        <v>1.7373783951754384E-2</v>
      </c>
      <c r="AB58" s="260">
        <f>report_47_flagged!AR50</f>
        <v>1</v>
      </c>
      <c r="AC58" s="264">
        <f>(report_47_flagged!R50/100)*report_47_flagged!H50</f>
        <v>3.0259437040499844</v>
      </c>
      <c r="AD58" s="264">
        <f t="shared" si="5"/>
        <v>8.4745873976085379E-2</v>
      </c>
      <c r="AE58" s="260">
        <f>report_47_flagged!AT50</f>
        <v>1</v>
      </c>
      <c r="AF58" s="264">
        <f>(report_47_flagged!L50/100)*report_47_flagged!H50</f>
        <v>4.0581997913333989</v>
      </c>
      <c r="AG58" s="264">
        <f t="shared" si="6"/>
        <v>7.7144232558495993E-2</v>
      </c>
      <c r="AH58" s="260">
        <f>report_47_flagged!AV50</f>
        <v>1</v>
      </c>
      <c r="AI58" s="264">
        <f>(report_47_flagged!T50/100)*report_47_flagged!H50</f>
        <v>1.4758019118675816</v>
      </c>
      <c r="AJ58" s="264">
        <f t="shared" si="7"/>
        <v>7.2319714791457795E-2</v>
      </c>
      <c r="AK58" s="260">
        <f>report_47_flagged!AX50</f>
        <v>1</v>
      </c>
    </row>
    <row r="59" spans="1:37" ht="15.5">
      <c r="A59" s="59">
        <v>2021</v>
      </c>
      <c r="B59" s="59" t="str">
        <f>LEFT(report_47_flagged!B51,2)</f>
        <v>47</v>
      </c>
      <c r="C59" s="59">
        <f>report_47_flagged!E51</f>
        <v>3800</v>
      </c>
      <c r="D59" s="260">
        <f>report_47_flagged!AM51</f>
        <v>3962.9</v>
      </c>
      <c r="E59" s="59" t="str">
        <f>report_47_flagged!D51</f>
        <v>McLane-PARFLUX-Mark78H-21 ; frame# 10705, controller# 11649-01 and Motor # 11649-01 Cup set Lx21</v>
      </c>
      <c r="H59" s="59">
        <f>report_47_flagged!C51</f>
        <v>4</v>
      </c>
      <c r="I59" s="59">
        <f>report_47_flagged!F51</f>
        <v>1</v>
      </c>
      <c r="J59" s="66">
        <f>report_47_flagged!AC51</f>
        <v>44366</v>
      </c>
      <c r="K59" s="66">
        <f>report_47_flagged!AD51</f>
        <v>44383</v>
      </c>
      <c r="L59" s="66">
        <f>report_47_flagged!AE51</f>
        <v>44374.5</v>
      </c>
      <c r="M59" s="260">
        <f>report_47_flagged!AF51</f>
        <v>17</v>
      </c>
      <c r="N59" s="261">
        <f>report_47_flagged!H51</f>
        <v>62.240336134453777</v>
      </c>
      <c r="O59" s="261">
        <f t="shared" si="0"/>
        <v>3.7344201680672262E-2</v>
      </c>
      <c r="P59" s="261">
        <f>report_47_flagged!J51</f>
        <v>1</v>
      </c>
      <c r="Q59" s="262">
        <f>report_47_flagged!BA51</f>
        <v>38.26</v>
      </c>
      <c r="R59" s="262">
        <f t="shared" si="1"/>
        <v>0.84171999999999991</v>
      </c>
      <c r="S59" s="263">
        <f>report_47_flagged!BB51</f>
        <v>1</v>
      </c>
      <c r="T59" s="262">
        <f>report_47_flagged!BC51</f>
        <v>8.58</v>
      </c>
      <c r="U59" s="262">
        <f t="shared" si="2"/>
        <v>0.24882000000000001</v>
      </c>
      <c r="V59" s="263">
        <f>report_47_flagged!BD51</f>
        <v>1</v>
      </c>
      <c r="W59" s="264">
        <f>(report_47_flagged!N51/100)*report_47_flagged!H51</f>
        <v>8.1522371802610518</v>
      </c>
      <c r="X59" s="264">
        <f t="shared" si="3"/>
        <v>0.17126684284951446</v>
      </c>
      <c r="Y59" s="260">
        <f>report_47_flagged!AP51</f>
        <v>1</v>
      </c>
      <c r="Z59" s="264">
        <f>(report_47_flagged!P51/100)*report_47_flagged!H51</f>
        <v>0.36643178327243864</v>
      </c>
      <c r="AA59" s="264">
        <f t="shared" si="4"/>
        <v>1.3926143385683275E-2</v>
      </c>
      <c r="AB59" s="260">
        <f>report_47_flagged!AR51</f>
        <v>1</v>
      </c>
      <c r="AC59" s="264">
        <f>(report_47_flagged!R51/100)*report_47_flagged!H51</f>
        <v>2.6386261087564384</v>
      </c>
      <c r="AD59" s="264">
        <f t="shared" si="5"/>
        <v>7.3898491694803822E-2</v>
      </c>
      <c r="AE59" s="260">
        <f>report_47_flagged!AT51</f>
        <v>1</v>
      </c>
      <c r="AF59" s="264">
        <f>(report_47_flagged!L51/100)*report_47_flagged!H51</f>
        <v>5.513611071504612</v>
      </c>
      <c r="AG59" s="264">
        <f t="shared" si="6"/>
        <v>0.10481083155284857</v>
      </c>
      <c r="AH59" s="260">
        <f>report_47_flagged!AV51</f>
        <v>1</v>
      </c>
      <c r="AI59" s="264">
        <f>(report_47_flagged!T51/100)*report_47_flagged!H51</f>
        <v>2.0126227741096439</v>
      </c>
      <c r="AJ59" s="264">
        <f t="shared" si="7"/>
        <v>9.8625908962409539E-2</v>
      </c>
      <c r="AK59" s="260">
        <f>report_47_flagged!AX51</f>
        <v>1</v>
      </c>
    </row>
    <row r="60" spans="1:37" ht="15.5">
      <c r="A60" s="59">
        <v>2021</v>
      </c>
      <c r="B60" s="59" t="str">
        <f>LEFT(report_47_flagged!B52,2)</f>
        <v>47</v>
      </c>
      <c r="C60" s="59">
        <f>report_47_flagged!E52</f>
        <v>3800</v>
      </c>
      <c r="D60" s="260">
        <f>report_47_flagged!AM52</f>
        <v>3962.9</v>
      </c>
      <c r="E60" s="59" t="str">
        <f>report_47_flagged!D52</f>
        <v>McLane-PARFLUX-Mark78H-21 ; frame# 10705, controller# 11649-01 and Motor # 11649-01 Cup set Lx21</v>
      </c>
      <c r="H60" s="59">
        <f>report_47_flagged!C52</f>
        <v>5</v>
      </c>
      <c r="I60" s="59">
        <f>report_47_flagged!F52</f>
        <v>1</v>
      </c>
      <c r="J60" s="66">
        <f>report_47_flagged!AC52</f>
        <v>44383</v>
      </c>
      <c r="K60" s="66">
        <f>report_47_flagged!AD52</f>
        <v>44400</v>
      </c>
      <c r="L60" s="66">
        <f>report_47_flagged!AE52</f>
        <v>44391.5</v>
      </c>
      <c r="M60" s="260">
        <f>report_47_flagged!AF52</f>
        <v>17</v>
      </c>
      <c r="N60" s="261">
        <f>report_47_flagged!H52</f>
        <v>43.109243697478995</v>
      </c>
      <c r="O60" s="261">
        <f t="shared" si="0"/>
        <v>2.5865546218487395E-2</v>
      </c>
      <c r="P60" s="261">
        <f>report_47_flagged!J52</f>
        <v>1</v>
      </c>
      <c r="Q60" s="262">
        <f>report_47_flagged!BA52</f>
        <v>39.78</v>
      </c>
      <c r="R60" s="262">
        <f t="shared" si="1"/>
        <v>0.87515999999999994</v>
      </c>
      <c r="S60" s="263">
        <f>report_47_flagged!BB52</f>
        <v>1</v>
      </c>
      <c r="T60" s="262">
        <f>report_47_flagged!BC52</f>
        <v>8.58</v>
      </c>
      <c r="U60" s="262">
        <f t="shared" si="2"/>
        <v>0.24882000000000001</v>
      </c>
      <c r="V60" s="263">
        <f>report_47_flagged!BD52</f>
        <v>1</v>
      </c>
      <c r="W60" s="264">
        <f>(report_47_flagged!N52/100)*report_47_flagged!H52</f>
        <v>6.2067639695496126</v>
      </c>
      <c r="X60" s="264">
        <f t="shared" si="3"/>
        <v>0.13039523334168279</v>
      </c>
      <c r="Y60" s="260">
        <f>report_47_flagged!AP52</f>
        <v>1</v>
      </c>
      <c r="Z60" s="264">
        <f>(report_47_flagged!P52/100)*report_47_flagged!H52</f>
        <v>0.41029435115702018</v>
      </c>
      <c r="AA60" s="264">
        <f t="shared" si="4"/>
        <v>1.559312872240773E-2</v>
      </c>
      <c r="AB60" s="260">
        <f>report_47_flagged!AR52</f>
        <v>1</v>
      </c>
      <c r="AC60" s="264">
        <f>(report_47_flagged!R52/100)*report_47_flagged!H52</f>
        <v>2.6262142020890562</v>
      </c>
      <c r="AD60" s="264">
        <f t="shared" si="5"/>
        <v>7.3550878526446109E-2</v>
      </c>
      <c r="AE60" s="260">
        <f>report_47_flagged!AT52</f>
        <v>1</v>
      </c>
      <c r="AF60" s="264">
        <f>(report_47_flagged!L52/100)*report_47_flagged!H52</f>
        <v>3.580549767460556</v>
      </c>
      <c r="AG60" s="264">
        <f t="shared" si="6"/>
        <v>6.8064358127003149E-2</v>
      </c>
      <c r="AH60" s="260">
        <f>report_47_flagged!AV52</f>
        <v>1</v>
      </c>
      <c r="AI60" s="264">
        <f>(report_47_flagged!T52/100)*report_47_flagged!H52</f>
        <v>1.3698301747732198</v>
      </c>
      <c r="AJ60" s="264">
        <f t="shared" si="7"/>
        <v>6.7126710404492862E-2</v>
      </c>
      <c r="AK60" s="260">
        <f>report_47_flagged!AX52</f>
        <v>1</v>
      </c>
    </row>
    <row r="61" spans="1:37" ht="15.5">
      <c r="A61" s="59">
        <v>2021</v>
      </c>
      <c r="B61" s="59" t="str">
        <f>LEFT(report_47_flagged!B53,2)</f>
        <v>47</v>
      </c>
      <c r="C61" s="59">
        <f>report_47_flagged!E53</f>
        <v>3800</v>
      </c>
      <c r="D61" s="260">
        <f>report_47_flagged!AM53</f>
        <v>3962.9</v>
      </c>
      <c r="E61" s="59" t="str">
        <f>report_47_flagged!D53</f>
        <v>McLane-PARFLUX-Mark78H-21 ; frame# 10705, controller# 11649-01 and Motor # 11649-01 Cup set Lx21</v>
      </c>
      <c r="H61" s="59">
        <f>report_47_flagged!C53</f>
        <v>6</v>
      </c>
      <c r="I61" s="59">
        <f>report_47_flagged!F53</f>
        <v>1</v>
      </c>
      <c r="J61" s="66">
        <f>report_47_flagged!AC53</f>
        <v>44400</v>
      </c>
      <c r="K61" s="66">
        <f>report_47_flagged!AD53</f>
        <v>44417</v>
      </c>
      <c r="L61" s="66">
        <f>report_47_flagged!AE53</f>
        <v>44408.5</v>
      </c>
      <c r="M61" s="260">
        <f>report_47_flagged!AF53</f>
        <v>17</v>
      </c>
      <c r="N61" s="261">
        <f>report_47_flagged!H53</f>
        <v>36.941176470588232</v>
      </c>
      <c r="O61" s="261">
        <f t="shared" si="0"/>
        <v>2.2164705882352937E-2</v>
      </c>
      <c r="P61" s="261">
        <f>report_47_flagged!J53</f>
        <v>1</v>
      </c>
      <c r="Q61" s="262">
        <f>report_47_flagged!BA53</f>
        <v>40.119999999999997</v>
      </c>
      <c r="R61" s="262">
        <f t="shared" si="1"/>
        <v>0.88263999999999987</v>
      </c>
      <c r="S61" s="263">
        <f>report_47_flagged!BB53</f>
        <v>1</v>
      </c>
      <c r="T61" s="262">
        <f>report_47_flagged!BC53</f>
        <v>8.58</v>
      </c>
      <c r="U61" s="262">
        <f t="shared" si="2"/>
        <v>0.24882000000000001</v>
      </c>
      <c r="V61" s="263">
        <f>report_47_flagged!BD53</f>
        <v>1</v>
      </c>
      <c r="W61" s="264">
        <f>(report_47_flagged!N53/100)*report_47_flagged!H53</f>
        <v>5.523355802648207</v>
      </c>
      <c r="X61" s="264">
        <f t="shared" si="3"/>
        <v>0.11603780524744405</v>
      </c>
      <c r="Y61" s="260">
        <f>report_47_flagged!AP53</f>
        <v>1</v>
      </c>
      <c r="Z61" s="264">
        <f>(report_47_flagged!P53/100)*report_47_flagged!H53</f>
        <v>0.39690421581268309</v>
      </c>
      <c r="AA61" s="264">
        <f t="shared" si="4"/>
        <v>1.5084240156318738E-2</v>
      </c>
      <c r="AB61" s="260">
        <f>report_47_flagged!AR53</f>
        <v>1</v>
      </c>
      <c r="AC61" s="264">
        <f>(report_47_flagged!R53/100)*report_47_flagged!H53</f>
        <v>2.5303281110026807</v>
      </c>
      <c r="AD61" s="264">
        <f t="shared" si="5"/>
        <v>7.086545163618721E-2</v>
      </c>
      <c r="AE61" s="260">
        <f>report_47_flagged!AT53</f>
        <v>1</v>
      </c>
      <c r="AF61" s="264">
        <f>(report_47_flagged!L53/100)*report_47_flagged!H53</f>
        <v>2.9930276916455267</v>
      </c>
      <c r="AG61" s="264">
        <f t="shared" si="6"/>
        <v>5.6895874074858216E-2</v>
      </c>
      <c r="AH61" s="260">
        <f>report_47_flagged!AV53</f>
        <v>1</v>
      </c>
      <c r="AI61" s="264">
        <f>(report_47_flagged!T53/100)*report_47_flagged!H53</f>
        <v>1.1904216820789453</v>
      </c>
      <c r="AJ61" s="264">
        <f t="shared" si="7"/>
        <v>5.8335035235569883E-2</v>
      </c>
      <c r="AK61" s="260">
        <f>report_47_flagged!AX53</f>
        <v>1</v>
      </c>
    </row>
    <row r="62" spans="1:37" ht="15.5">
      <c r="A62" s="59">
        <v>2021</v>
      </c>
      <c r="B62" s="59" t="str">
        <f>LEFT(report_47_flagged!B54,2)</f>
        <v>47</v>
      </c>
      <c r="C62" s="59">
        <f>report_47_flagged!E54</f>
        <v>3800</v>
      </c>
      <c r="D62" s="260">
        <f>report_47_flagged!AM54</f>
        <v>3962.9</v>
      </c>
      <c r="E62" s="59" t="str">
        <f>report_47_flagged!D54</f>
        <v>McLane-PARFLUX-Mark78H-21 ; frame# 10705, controller# 11649-01 and Motor # 11649-01 Cup set Lx21</v>
      </c>
      <c r="H62" s="59">
        <f>report_47_flagged!C54</f>
        <v>7</v>
      </c>
      <c r="I62" s="59">
        <f>report_47_flagged!F54</f>
        <v>1</v>
      </c>
      <c r="J62" s="66">
        <f>report_47_flagged!AC54</f>
        <v>44417</v>
      </c>
      <c r="K62" s="66">
        <f>report_47_flagged!AD54</f>
        <v>44434</v>
      </c>
      <c r="L62" s="66">
        <f>report_47_flagged!AE54</f>
        <v>44425.5</v>
      </c>
      <c r="M62" s="260">
        <f>report_47_flagged!AF54</f>
        <v>17</v>
      </c>
      <c r="N62" s="261">
        <f>report_47_flagged!H54</f>
        <v>42</v>
      </c>
      <c r="O62" s="261">
        <f t="shared" si="0"/>
        <v>2.5199999999999997E-2</v>
      </c>
      <c r="P62" s="261">
        <f>report_47_flagged!J54</f>
        <v>1</v>
      </c>
      <c r="Q62" s="262">
        <f>report_47_flagged!BA54</f>
        <v>39.94</v>
      </c>
      <c r="R62" s="262">
        <f t="shared" si="1"/>
        <v>0.87867999999999991</v>
      </c>
      <c r="S62" s="263">
        <f>report_47_flagged!BB54</f>
        <v>1</v>
      </c>
      <c r="T62" s="262">
        <f>report_47_flagged!BC54</f>
        <v>8.6</v>
      </c>
      <c r="U62" s="262">
        <f t="shared" si="2"/>
        <v>0.24940000000000001</v>
      </c>
      <c r="V62" s="263">
        <f>report_47_flagged!BD54</f>
        <v>1</v>
      </c>
      <c r="W62" s="264">
        <f>(report_47_flagged!N54/100)*report_47_flagged!H54</f>
        <v>5.8063417053222652</v>
      </c>
      <c r="X62" s="264">
        <f t="shared" si="3"/>
        <v>0.12198293430223363</v>
      </c>
      <c r="Y62" s="260">
        <f>report_47_flagged!AP54</f>
        <v>1</v>
      </c>
      <c r="Z62" s="264">
        <f>(report_47_flagged!P54/100)*report_47_flagged!H54</f>
        <v>0.35811439633369446</v>
      </c>
      <c r="AA62" s="264">
        <f t="shared" si="4"/>
        <v>1.3610043286317597E-2</v>
      </c>
      <c r="AB62" s="260">
        <f>report_47_flagged!AR54</f>
        <v>1</v>
      </c>
      <c r="AC62" s="264">
        <f>(report_47_flagged!R54/100)*report_47_flagged!H54</f>
        <v>2.2775718281543824</v>
      </c>
      <c r="AD62" s="264">
        <f t="shared" si="5"/>
        <v>6.3786651041101247E-2</v>
      </c>
      <c r="AE62" s="260">
        <f>report_47_flagged!AT54</f>
        <v>1</v>
      </c>
      <c r="AF62" s="264">
        <f>(report_47_flagged!L54/100)*report_47_flagged!H54</f>
        <v>3.5287698771678833</v>
      </c>
      <c r="AG62" s="264">
        <f t="shared" si="6"/>
        <v>6.7080049787349202E-2</v>
      </c>
      <c r="AH62" s="260">
        <f>report_47_flagged!AV54</f>
        <v>1</v>
      </c>
      <c r="AI62" s="264">
        <f>(report_47_flagged!T54/100)*report_47_flagged!H54</f>
        <v>1.4837941462061315</v>
      </c>
      <c r="AJ62" s="264">
        <f t="shared" si="7"/>
        <v>7.2711363632174494E-2</v>
      </c>
      <c r="AK62" s="260">
        <f>report_47_flagged!AX54</f>
        <v>1</v>
      </c>
    </row>
    <row r="63" spans="1:37" ht="15.5">
      <c r="A63" s="59">
        <v>2021</v>
      </c>
      <c r="B63" s="59" t="str">
        <f>LEFT(report_47_flagged!B55,2)</f>
        <v>47</v>
      </c>
      <c r="C63" s="59">
        <f>report_47_flagged!E55</f>
        <v>3800</v>
      </c>
      <c r="D63" s="260">
        <f>report_47_flagged!AM55</f>
        <v>3962.9</v>
      </c>
      <c r="E63" s="59" t="str">
        <f>report_47_flagged!D55</f>
        <v>McLane-PARFLUX-Mark78H-21 ; frame# 10705, controller# 11649-01 and Motor # 11649-01 Cup set Lx21</v>
      </c>
      <c r="H63" s="59">
        <f>report_47_flagged!C55</f>
        <v>8</v>
      </c>
      <c r="I63" s="59">
        <f>report_47_flagged!F55</f>
        <v>1</v>
      </c>
      <c r="J63" s="66">
        <f>report_47_flagged!AC55</f>
        <v>44434</v>
      </c>
      <c r="K63" s="66">
        <f>report_47_flagged!AD55</f>
        <v>44451</v>
      </c>
      <c r="L63" s="66">
        <f>report_47_flagged!AE55</f>
        <v>44442.5</v>
      </c>
      <c r="M63" s="260">
        <f>report_47_flagged!AF55</f>
        <v>17</v>
      </c>
      <c r="N63" s="261">
        <f>report_47_flagged!H55</f>
        <v>31.003361344537812</v>
      </c>
      <c r="O63" s="261">
        <f t="shared" si="0"/>
        <v>1.8602016806722684E-2</v>
      </c>
      <c r="P63" s="261">
        <f>report_47_flagged!J55</f>
        <v>1</v>
      </c>
      <c r="Q63" s="262">
        <f>report_47_flagged!BA55</f>
        <v>39.96</v>
      </c>
      <c r="R63" s="262">
        <f t="shared" si="1"/>
        <v>0.87912000000000001</v>
      </c>
      <c r="S63" s="263">
        <f>report_47_flagged!BB55</f>
        <v>1</v>
      </c>
      <c r="T63" s="262">
        <f>report_47_flagged!BC55</f>
        <v>8.64</v>
      </c>
      <c r="U63" s="262">
        <f t="shared" si="2"/>
        <v>0.25056</v>
      </c>
      <c r="V63" s="263">
        <f>report_47_flagged!BD55</f>
        <v>1</v>
      </c>
      <c r="W63" s="264">
        <f>(report_47_flagged!N55/100)*report_47_flagged!H55</f>
        <v>4.0470726132432944</v>
      </c>
      <c r="X63" s="264">
        <f t="shared" si="3"/>
        <v>8.5023206995397754E-2</v>
      </c>
      <c r="Y63" s="260">
        <f>report_47_flagged!AP55</f>
        <v>1</v>
      </c>
      <c r="Z63" s="264">
        <f>(report_47_flagged!P55/100)*report_47_flagged!H55</f>
        <v>0.19587531806140385</v>
      </c>
      <c r="AA63" s="264">
        <f t="shared" si="4"/>
        <v>7.44418985896576E-3</v>
      </c>
      <c r="AB63" s="260">
        <f>report_47_flagged!AR55</f>
        <v>1</v>
      </c>
      <c r="AC63" s="264">
        <f>(report_47_flagged!R55/100)*report_47_flagged!H55</f>
        <v>1.3741135044412593</v>
      </c>
      <c r="AD63" s="264">
        <f t="shared" si="5"/>
        <v>3.8484010697342572E-2</v>
      </c>
      <c r="AE63" s="260">
        <f>report_47_flagged!AT55</f>
        <v>1</v>
      </c>
      <c r="AF63" s="264">
        <f>(report_47_flagged!L55/100)*report_47_flagged!H55</f>
        <v>2.6729591088020355</v>
      </c>
      <c r="AG63" s="264">
        <f t="shared" si="6"/>
        <v>5.0811539527732902E-2</v>
      </c>
      <c r="AH63" s="260">
        <f>report_47_flagged!AV55</f>
        <v>1</v>
      </c>
      <c r="AI63" s="264">
        <f>(report_47_flagged!T55/100)*report_47_flagged!H55</f>
        <v>1.1634739822441715</v>
      </c>
      <c r="AJ63" s="264">
        <f t="shared" si="7"/>
        <v>5.7014498955825915E-2</v>
      </c>
      <c r="AK63" s="260">
        <f>report_47_flagged!AX55</f>
        <v>1</v>
      </c>
    </row>
    <row r="64" spans="1:37" ht="15.5">
      <c r="A64" s="59">
        <v>2021</v>
      </c>
      <c r="B64" s="59" t="str">
        <f>LEFT(report_47_flagged!B56,2)</f>
        <v>47</v>
      </c>
      <c r="C64" s="59">
        <f>report_47_flagged!E56</f>
        <v>3800</v>
      </c>
      <c r="D64" s="260">
        <f>report_47_flagged!AM56</f>
        <v>3962.9</v>
      </c>
      <c r="E64" s="59" t="str">
        <f>report_47_flagged!D56</f>
        <v>McLane-PARFLUX-Mark78H-21 ; frame# 10705, controller# 11649-01 and Motor # 11649-01 Cup set Lx21</v>
      </c>
      <c r="H64" s="59">
        <f>report_47_flagged!C56</f>
        <v>9</v>
      </c>
      <c r="I64" s="59">
        <f>report_47_flagged!F56</f>
        <v>1</v>
      </c>
      <c r="J64" s="66">
        <f>report_47_flagged!AC56</f>
        <v>44451</v>
      </c>
      <c r="K64" s="66">
        <f>report_47_flagged!AD56</f>
        <v>44468</v>
      </c>
      <c r="L64" s="66">
        <f>report_47_flagged!AE56</f>
        <v>44459.5</v>
      </c>
      <c r="M64" s="260">
        <f>report_47_flagged!AF56</f>
        <v>17</v>
      </c>
      <c r="N64" s="261">
        <f>report_47_flagged!H56</f>
        <v>38.680672268907564</v>
      </c>
      <c r="O64" s="261">
        <f t="shared" si="0"/>
        <v>2.3208403361344537E-2</v>
      </c>
      <c r="P64" s="261">
        <f>report_47_flagged!J56</f>
        <v>1</v>
      </c>
      <c r="Q64" s="262">
        <f>report_47_flagged!BA56</f>
        <v>37.89</v>
      </c>
      <c r="R64" s="262">
        <f t="shared" si="1"/>
        <v>0.83357999999999999</v>
      </c>
      <c r="S64" s="263">
        <f>report_47_flagged!BB56</f>
        <v>1</v>
      </c>
      <c r="T64" s="262">
        <f>report_47_flagged!BC56</f>
        <v>8.6199999999999992</v>
      </c>
      <c r="U64" s="262">
        <f t="shared" si="2"/>
        <v>0.24997999999999998</v>
      </c>
      <c r="V64" s="263">
        <f>report_47_flagged!BD56</f>
        <v>1</v>
      </c>
      <c r="W64" s="264">
        <f>(report_47_flagged!N56/100)*report_47_flagged!H56</f>
        <v>4.9798584133436696</v>
      </c>
      <c r="X64" s="264">
        <f t="shared" si="3"/>
        <v>0.10461970247333402</v>
      </c>
      <c r="Y64" s="260">
        <f>report_47_flagged!AP56</f>
        <v>1</v>
      </c>
      <c r="Z64" s="264">
        <f>(report_47_flagged!P56/100)*report_47_flagged!H56</f>
        <v>0.22355773538601501</v>
      </c>
      <c r="AA64" s="264">
        <f t="shared" si="4"/>
        <v>8.496252836369211E-3</v>
      </c>
      <c r="AB64" s="260">
        <f>report_47_flagged!AR56</f>
        <v>1</v>
      </c>
      <c r="AC64" s="264">
        <f>(report_47_flagged!R56/100)*report_47_flagged!H56</f>
        <v>1.602266526920116</v>
      </c>
      <c r="AD64" s="264">
        <f t="shared" si="5"/>
        <v>4.4873761856419912E-2</v>
      </c>
      <c r="AE64" s="260">
        <f>report_47_flagged!AT56</f>
        <v>1</v>
      </c>
      <c r="AF64" s="264">
        <f>(report_47_flagged!L56/100)*report_47_flagged!H56</f>
        <v>3.3775918864235543</v>
      </c>
      <c r="AG64" s="264">
        <f t="shared" si="6"/>
        <v>6.420623610754643E-2</v>
      </c>
      <c r="AH64" s="260">
        <f>report_47_flagged!AV56</f>
        <v>1</v>
      </c>
      <c r="AI64" s="264">
        <f>(report_47_flagged!T56/100)*report_47_flagged!H56</f>
        <v>1.5028700338859167</v>
      </c>
      <c r="AJ64" s="264">
        <f t="shared" si="7"/>
        <v>7.3646152200546905E-2</v>
      </c>
      <c r="AK64" s="260">
        <f>report_47_flagged!AX56</f>
        <v>1</v>
      </c>
    </row>
    <row r="65" spans="1:37" ht="15.5">
      <c r="A65" s="59">
        <v>2021</v>
      </c>
      <c r="B65" s="59" t="str">
        <f>LEFT(report_47_flagged!B57,2)</f>
        <v>47</v>
      </c>
      <c r="C65" s="59">
        <f>report_47_flagged!E57</f>
        <v>3800</v>
      </c>
      <c r="D65" s="260">
        <f>report_47_flagged!AM57</f>
        <v>3962.9</v>
      </c>
      <c r="E65" s="59" t="str">
        <f>report_47_flagged!D57</f>
        <v>McLane-PARFLUX-Mark78H-21 ; frame# 10705, controller# 11649-01 and Motor # 11649-01 Cup set Lx21</v>
      </c>
      <c r="H65" s="59">
        <f>report_47_flagged!C57</f>
        <v>10</v>
      </c>
      <c r="I65" s="59">
        <f>report_47_flagged!F57</f>
        <v>1</v>
      </c>
      <c r="J65" s="66">
        <f>report_47_flagged!AC57</f>
        <v>44468</v>
      </c>
      <c r="K65" s="66">
        <f>report_47_flagged!AD57</f>
        <v>44485</v>
      </c>
      <c r="L65" s="66">
        <f>report_47_flagged!AE57</f>
        <v>44476.5</v>
      </c>
      <c r="M65" s="260">
        <f>report_47_flagged!AF57</f>
        <v>17</v>
      </c>
      <c r="N65" s="261">
        <f>report_47_flagged!H57</f>
        <v>53.389915966386553</v>
      </c>
      <c r="O65" s="261">
        <f t="shared" si="0"/>
        <v>3.2033949579831932E-2</v>
      </c>
      <c r="P65" s="261">
        <f>report_47_flagged!J57</f>
        <v>1</v>
      </c>
      <c r="Q65" s="262">
        <f>report_47_flagged!BA57</f>
        <v>39.51</v>
      </c>
      <c r="R65" s="262">
        <f t="shared" si="1"/>
        <v>0.86921999999999988</v>
      </c>
      <c r="S65" s="263">
        <f>report_47_flagged!BB57</f>
        <v>1</v>
      </c>
      <c r="T65" s="262">
        <f>report_47_flagged!BC57</f>
        <v>8.6300000000000008</v>
      </c>
      <c r="U65" s="262">
        <f t="shared" si="2"/>
        <v>0.25027000000000005</v>
      </c>
      <c r="V65" s="263">
        <f>report_47_flagged!BD57</f>
        <v>1</v>
      </c>
      <c r="W65" s="264">
        <f>(report_47_flagged!N57/100)*report_47_flagged!H57</f>
        <v>6.751931596371306</v>
      </c>
      <c r="X65" s="264">
        <f t="shared" si="3"/>
        <v>0.14184842541705417</v>
      </c>
      <c r="Y65" s="260">
        <f>report_47_flagged!AP57</f>
        <v>1</v>
      </c>
      <c r="Z65" s="264">
        <f>(report_47_flagged!P57/100)*report_47_flagged!H57</f>
        <v>0.28970232707412302</v>
      </c>
      <c r="AA65" s="264">
        <f t="shared" si="4"/>
        <v>1.1010060617478657E-2</v>
      </c>
      <c r="AB65" s="260">
        <f>report_47_flagged!AR57</f>
        <v>1</v>
      </c>
      <c r="AC65" s="264">
        <f>(report_47_flagged!R57/100)*report_47_flagged!H57</f>
        <v>2.0739411865947193</v>
      </c>
      <c r="AD65" s="264">
        <f t="shared" si="5"/>
        <v>5.8083684173545945E-2</v>
      </c>
      <c r="AE65" s="260">
        <f>report_47_flagged!AT57</f>
        <v>1</v>
      </c>
      <c r="AF65" s="264">
        <f>(report_47_flagged!L57/100)*report_47_flagged!H57</f>
        <v>4.6779904097765872</v>
      </c>
      <c r="AG65" s="264">
        <f t="shared" si="6"/>
        <v>8.892612454638292E-2</v>
      </c>
      <c r="AH65" s="260">
        <f>report_47_flagged!AV57</f>
        <v>1</v>
      </c>
      <c r="AI65" s="264">
        <f>(report_47_flagged!T57/100)*report_47_flagged!H57</f>
        <v>2.1729787590773908</v>
      </c>
      <c r="AJ65" s="264">
        <f t="shared" si="7"/>
        <v>0.10648394126655206</v>
      </c>
      <c r="AK65" s="260">
        <f>report_47_flagged!AX57</f>
        <v>1</v>
      </c>
    </row>
    <row r="66" spans="1:37" ht="15.5">
      <c r="A66" s="59">
        <v>2021</v>
      </c>
      <c r="B66" s="59" t="str">
        <f>LEFT(report_47_flagged!B58,2)</f>
        <v>47</v>
      </c>
      <c r="C66" s="59">
        <f>report_47_flagged!E58</f>
        <v>3800</v>
      </c>
      <c r="D66" s="260">
        <f>report_47_flagged!AM58</f>
        <v>3962.9</v>
      </c>
      <c r="E66" s="59" t="str">
        <f>report_47_flagged!D58</f>
        <v>McLane-PARFLUX-Mark78H-21 ; frame# 10705, controller# 11649-01 and Motor # 11649-01 Cup set Lx21</v>
      </c>
      <c r="H66" s="59">
        <f>report_47_flagged!C58</f>
        <v>11</v>
      </c>
      <c r="I66" s="59">
        <f>report_47_flagged!F58</f>
        <v>1</v>
      </c>
      <c r="J66" s="66">
        <f>report_47_flagged!AC58</f>
        <v>44485</v>
      </c>
      <c r="K66" s="66">
        <f>report_47_flagged!AD58</f>
        <v>44502</v>
      </c>
      <c r="L66" s="66">
        <f>report_47_flagged!AE58</f>
        <v>44493.5</v>
      </c>
      <c r="M66" s="260">
        <f>report_47_flagged!AF58</f>
        <v>17</v>
      </c>
      <c r="N66" s="261">
        <f>report_47_flagged!H58</f>
        <v>65.297478991596634</v>
      </c>
      <c r="O66" s="261">
        <f t="shared" si="0"/>
        <v>3.9178487394957974E-2</v>
      </c>
      <c r="P66" s="261">
        <f>report_47_flagged!J58</f>
        <v>1</v>
      </c>
      <c r="Q66" s="262">
        <f>report_47_flagged!BA58</f>
        <v>39.549999999999997</v>
      </c>
      <c r="R66" s="262">
        <f t="shared" si="1"/>
        <v>0.87009999999999987</v>
      </c>
      <c r="S66" s="263">
        <f>report_47_flagged!BB58</f>
        <v>1</v>
      </c>
      <c r="T66" s="262">
        <f>report_47_flagged!BC58</f>
        <v>8.6</v>
      </c>
      <c r="U66" s="262">
        <f t="shared" si="2"/>
        <v>0.24940000000000001</v>
      </c>
      <c r="V66" s="263">
        <f>report_47_flagged!BD58</f>
        <v>1</v>
      </c>
      <c r="W66" s="264">
        <f>(report_47_flagged!N58/100)*report_47_flagged!H58</f>
        <v>8.8053629496598447</v>
      </c>
      <c r="X66" s="264">
        <f t="shared" si="3"/>
        <v>0.18498808108574169</v>
      </c>
      <c r="Y66" s="260">
        <f>report_47_flagged!AP58</f>
        <v>1</v>
      </c>
      <c r="Z66" s="264">
        <f>(report_47_flagged!P58/100)*report_47_flagged!H58</f>
        <v>0.43937092878237488</v>
      </c>
      <c r="AA66" s="264">
        <f t="shared" si="4"/>
        <v>1.66981763947451E-2</v>
      </c>
      <c r="AB66" s="260">
        <f>report_47_flagged!AR58</f>
        <v>1</v>
      </c>
      <c r="AC66" s="264">
        <f>(report_47_flagged!R58/100)*report_47_flagged!H58</f>
        <v>3.1388262250707499</v>
      </c>
      <c r="AD66" s="264">
        <f t="shared" si="5"/>
        <v>8.7907310154731022E-2</v>
      </c>
      <c r="AE66" s="260">
        <f>report_47_flagged!AT58</f>
        <v>1</v>
      </c>
      <c r="AF66" s="264">
        <f>(report_47_flagged!L58/100)*report_47_flagged!H58</f>
        <v>5.6665367245890934</v>
      </c>
      <c r="AG66" s="264">
        <f t="shared" si="6"/>
        <v>0.10771786736978968</v>
      </c>
      <c r="AH66" s="260">
        <f>report_47_flagged!AV58</f>
        <v>1</v>
      </c>
      <c r="AI66" s="264">
        <f>(report_47_flagged!T58/100)*report_47_flagged!H58</f>
        <v>2.5599752705553525</v>
      </c>
      <c r="AJ66" s="264">
        <f t="shared" si="7"/>
        <v>0.12544819189552572</v>
      </c>
      <c r="AK66" s="260">
        <f>report_47_flagged!AX58</f>
        <v>1</v>
      </c>
    </row>
    <row r="67" spans="1:37" ht="15.5">
      <c r="A67" s="59">
        <v>2021</v>
      </c>
      <c r="B67" s="59" t="str">
        <f>LEFT(report_47_flagged!B59,2)</f>
        <v>47</v>
      </c>
      <c r="C67" s="59">
        <f>report_47_flagged!E59</f>
        <v>3800</v>
      </c>
      <c r="D67" s="260">
        <f>report_47_flagged!AM59</f>
        <v>3962.9</v>
      </c>
      <c r="E67" s="59" t="str">
        <f>report_47_flagged!D59</f>
        <v>McLane-PARFLUX-Mark78H-21 ; frame# 10705, controller# 11649-01 and Motor # 11649-01 Cup set Lx21</v>
      </c>
      <c r="H67" s="59">
        <f>report_47_flagged!C59</f>
        <v>12</v>
      </c>
      <c r="I67" s="59">
        <f>report_47_flagged!F59</f>
        <v>1</v>
      </c>
      <c r="J67" s="66">
        <f>report_47_flagged!AC59</f>
        <v>44502</v>
      </c>
      <c r="K67" s="66">
        <f>report_47_flagged!AD59</f>
        <v>44519</v>
      </c>
      <c r="L67" s="66">
        <f>report_47_flagged!AE59</f>
        <v>44510.5</v>
      </c>
      <c r="M67" s="260">
        <f>report_47_flagged!AF59</f>
        <v>17</v>
      </c>
      <c r="N67" s="261">
        <f>report_47_flagged!H59</f>
        <v>85.685714285714297</v>
      </c>
      <c r="O67" s="261">
        <f t="shared" si="0"/>
        <v>5.1411428571428573E-2</v>
      </c>
      <c r="P67" s="261">
        <f>report_47_flagged!J59</f>
        <v>1</v>
      </c>
      <c r="Q67" s="262">
        <f>report_47_flagged!BA59</f>
        <v>38.19</v>
      </c>
      <c r="R67" s="262">
        <f t="shared" si="1"/>
        <v>0.84017999999999993</v>
      </c>
      <c r="S67" s="263">
        <f>report_47_flagged!BB59</f>
        <v>1</v>
      </c>
      <c r="T67" s="262">
        <f>report_47_flagged!BC59</f>
        <v>8.5500000000000007</v>
      </c>
      <c r="U67" s="262">
        <f t="shared" si="2"/>
        <v>0.24795000000000003</v>
      </c>
      <c r="V67" s="263">
        <f>report_47_flagged!BD59</f>
        <v>1</v>
      </c>
      <c r="W67" s="264">
        <f>(report_47_flagged!N59/100)*report_47_flagged!H59</f>
        <v>11.884738402230399</v>
      </c>
      <c r="X67" s="264">
        <f t="shared" si="3"/>
        <v>0.24968135485199458</v>
      </c>
      <c r="Y67" s="260">
        <f>report_47_flagged!AP59</f>
        <v>3</v>
      </c>
      <c r="Z67" s="264">
        <f>(report_47_flagged!P59/100)*report_47_flagged!H59</f>
        <v>0.59202152066571379</v>
      </c>
      <c r="AA67" s="264">
        <f t="shared" si="4"/>
        <v>2.2499621923001201E-2</v>
      </c>
      <c r="AB67" s="260">
        <f>report_47_flagged!AR59</f>
        <v>1</v>
      </c>
      <c r="AC67" s="264">
        <f>(report_47_flagged!R59/100)*report_47_flagged!H59</f>
        <v>4.3023868606869797</v>
      </c>
      <c r="AD67" s="264">
        <f t="shared" si="5"/>
        <v>0.12049448712616287</v>
      </c>
      <c r="AE67" s="260">
        <f>report_47_flagged!AT59</f>
        <v>3</v>
      </c>
      <c r="AF67" s="264">
        <f>(report_47_flagged!L59/100)*report_47_flagged!H59</f>
        <v>7.5823515415434217</v>
      </c>
      <c r="AG67" s="264">
        <f t="shared" si="6"/>
        <v>0.14413649419387134</v>
      </c>
      <c r="AH67" s="260">
        <f>report_47_flagged!AV59</f>
        <v>1</v>
      </c>
      <c r="AI67" s="264">
        <f>(report_47_flagged!T59/100)*report_47_flagged!H59</f>
        <v>3.1291603545298643</v>
      </c>
      <c r="AJ67" s="264">
        <f t="shared" si="7"/>
        <v>0.15334035181588912</v>
      </c>
      <c r="AK67" s="260">
        <f>report_47_flagged!AX59</f>
        <v>1</v>
      </c>
    </row>
    <row r="68" spans="1:37" ht="15.5">
      <c r="A68" s="59">
        <v>2021</v>
      </c>
      <c r="B68" s="59" t="str">
        <f>LEFT(report_47_flagged!B60,2)</f>
        <v>47</v>
      </c>
      <c r="C68" s="59">
        <f>report_47_flagged!E60</f>
        <v>3800</v>
      </c>
      <c r="D68" s="260">
        <f>report_47_flagged!AM60</f>
        <v>3962.9</v>
      </c>
      <c r="E68" s="59" t="str">
        <f>report_47_flagged!D60</f>
        <v>McLane-PARFLUX-Mark78H-21 ; frame# 10705, controller# 11649-01 and Motor # 11649-01 Cup set Lx21</v>
      </c>
      <c r="H68" s="59">
        <f>report_47_flagged!C60</f>
        <v>13</v>
      </c>
      <c r="I68" s="59">
        <f>report_47_flagged!F60</f>
        <v>1</v>
      </c>
      <c r="J68" s="66">
        <f>report_47_flagged!AC60</f>
        <v>44519</v>
      </c>
      <c r="K68" s="66">
        <f>report_47_flagged!AD60</f>
        <v>44536</v>
      </c>
      <c r="L68" s="66">
        <f>report_47_flagged!AE60</f>
        <v>44527.5</v>
      </c>
      <c r="M68" s="260">
        <f>report_47_flagged!AF60</f>
        <v>17</v>
      </c>
      <c r="N68" s="261">
        <f>report_47_flagged!H60</f>
        <v>81.786554621848737</v>
      </c>
      <c r="O68" s="261">
        <f t="shared" si="0"/>
        <v>4.9071932773109235E-2</v>
      </c>
      <c r="P68" s="261">
        <f>report_47_flagged!J60</f>
        <v>1</v>
      </c>
      <c r="Q68" s="262">
        <f>report_47_flagged!BA60</f>
        <v>39.89</v>
      </c>
      <c r="R68" s="262">
        <f t="shared" si="1"/>
        <v>0.87757999999999992</v>
      </c>
      <c r="S68" s="263">
        <f>report_47_flagged!BB60</f>
        <v>1</v>
      </c>
      <c r="T68" s="262">
        <f>report_47_flagged!BC60</f>
        <v>8.57</v>
      </c>
      <c r="U68" s="262">
        <f t="shared" si="2"/>
        <v>0.24853000000000003</v>
      </c>
      <c r="V68" s="263">
        <f>report_47_flagged!BD60</f>
        <v>1</v>
      </c>
      <c r="W68" s="264">
        <f>(report_47_flagged!N60/100)*report_47_flagged!H60</f>
        <v>11.116928475932912</v>
      </c>
      <c r="X68" s="264">
        <f t="shared" si="3"/>
        <v>0.23355076651436749</v>
      </c>
      <c r="Y68" s="260">
        <f>report_47_flagged!AP60</f>
        <v>1</v>
      </c>
      <c r="Z68" s="264">
        <f>(report_47_flagged!P60/100)*report_47_flagged!H60</f>
        <v>0.57168455643713978</v>
      </c>
      <c r="AA68" s="264">
        <f t="shared" si="4"/>
        <v>2.172672095533032E-2</v>
      </c>
      <c r="AB68" s="260">
        <f>report_47_flagged!AR60</f>
        <v>1</v>
      </c>
      <c r="AC68" s="264">
        <f>(report_47_flagged!R60/100)*report_47_flagged!H60</f>
        <v>4.0781534231968228</v>
      </c>
      <c r="AD68" s="264">
        <f t="shared" si="5"/>
        <v>0.11421450954120931</v>
      </c>
      <c r="AE68" s="260">
        <f>report_47_flagged!AT60</f>
        <v>1</v>
      </c>
      <c r="AF68" s="264">
        <f>(report_47_flagged!L60/100)*report_47_flagged!H60</f>
        <v>7.0387750527360913</v>
      </c>
      <c r="AG68" s="264">
        <f t="shared" si="6"/>
        <v>0.13380339251774484</v>
      </c>
      <c r="AH68" s="260">
        <f>report_47_flagged!AV60</f>
        <v>1</v>
      </c>
      <c r="AI68" s="264">
        <f>(report_47_flagged!T60/100)*report_47_flagged!H60</f>
        <v>3.4082953000885361</v>
      </c>
      <c r="AJ68" s="264">
        <f t="shared" si="7"/>
        <v>0.16701898950350824</v>
      </c>
      <c r="AK68" s="260">
        <f>report_47_flagged!AX60</f>
        <v>1</v>
      </c>
    </row>
    <row r="69" spans="1:37" ht="15.5">
      <c r="A69" s="59">
        <v>2021</v>
      </c>
      <c r="B69" s="59" t="str">
        <f>LEFT(report_47_flagged!B61,2)</f>
        <v>47</v>
      </c>
      <c r="C69" s="59">
        <f>report_47_flagged!E61</f>
        <v>3800</v>
      </c>
      <c r="D69" s="260">
        <f>report_47_flagged!AM61</f>
        <v>3962.9</v>
      </c>
      <c r="E69" s="59" t="str">
        <f>report_47_flagged!D61</f>
        <v>McLane-PARFLUX-Mark78H-21 ; frame# 10705, controller# 11649-01 and Motor # 11649-01 Cup set Lx21</v>
      </c>
      <c r="H69" s="59">
        <f>report_47_flagged!C61</f>
        <v>14</v>
      </c>
      <c r="I69" s="59">
        <f>report_47_flagged!F61</f>
        <v>1</v>
      </c>
      <c r="J69" s="66">
        <f>report_47_flagged!AC61</f>
        <v>44536</v>
      </c>
      <c r="K69" s="66">
        <f>report_47_flagged!AD61</f>
        <v>44553</v>
      </c>
      <c r="L69" s="66">
        <f>report_47_flagged!AE61</f>
        <v>44544.5</v>
      </c>
      <c r="M69" s="260">
        <f>report_47_flagged!AF61</f>
        <v>17</v>
      </c>
      <c r="N69" s="261">
        <f>report_47_flagged!H61</f>
        <v>78.482352941176458</v>
      </c>
      <c r="O69" s="261">
        <f t="shared" si="0"/>
        <v>4.7089411764705873E-2</v>
      </c>
      <c r="P69" s="261">
        <f>report_47_flagged!J61</f>
        <v>1</v>
      </c>
      <c r="Q69" s="262">
        <f>report_47_flagged!BA61</f>
        <v>39.85</v>
      </c>
      <c r="R69" s="262">
        <f t="shared" si="1"/>
        <v>0.87670000000000003</v>
      </c>
      <c r="S69" s="263">
        <f>report_47_flagged!BB61</f>
        <v>1</v>
      </c>
      <c r="T69" s="262">
        <f>report_47_flagged!BC61</f>
        <v>8.59</v>
      </c>
      <c r="U69" s="262">
        <f t="shared" si="2"/>
        <v>0.24911</v>
      </c>
      <c r="V69" s="263">
        <f>report_47_flagged!BD61</f>
        <v>1</v>
      </c>
      <c r="W69" s="264">
        <f>(report_47_flagged!N61/100)*report_47_flagged!H61</f>
        <v>10.01084259998097</v>
      </c>
      <c r="X69" s="264">
        <f t="shared" si="3"/>
        <v>0.21031348431735186</v>
      </c>
      <c r="Y69" s="260">
        <f>report_47_flagged!AP61</f>
        <v>1</v>
      </c>
      <c r="Z69" s="264">
        <f>(report_47_flagged!P61/100)*report_47_flagged!H61</f>
        <v>0.45098016814624553</v>
      </c>
      <c r="AA69" s="264">
        <f t="shared" si="4"/>
        <v>1.7139382478279015E-2</v>
      </c>
      <c r="AB69" s="260">
        <f>report_47_flagged!AR61</f>
        <v>1</v>
      </c>
      <c r="AC69" s="264">
        <f>(report_47_flagged!R61/100)*report_47_flagged!H61</f>
        <v>3.2428226920957468</v>
      </c>
      <c r="AD69" s="264">
        <f t="shared" si="5"/>
        <v>9.0819879703418468E-2</v>
      </c>
      <c r="AE69" s="260">
        <f>report_47_flagged!AT61</f>
        <v>1</v>
      </c>
      <c r="AF69" s="264">
        <f>(report_47_flagged!L61/100)*report_47_flagged!H61</f>
        <v>6.7680199078852219</v>
      </c>
      <c r="AG69" s="264">
        <f t="shared" si="6"/>
        <v>0.1286564803560048</v>
      </c>
      <c r="AH69" s="260">
        <f>report_47_flagged!AV61</f>
        <v>1</v>
      </c>
      <c r="AI69" s="264">
        <f>(report_47_flagged!T61/100)*report_47_flagged!H61</f>
        <v>4.0590141061534819</v>
      </c>
      <c r="AJ69" s="264">
        <f t="shared" si="7"/>
        <v>0.19890660130670892</v>
      </c>
      <c r="AK69" s="260">
        <f>report_47_flagged!AX61</f>
        <v>1</v>
      </c>
    </row>
    <row r="70" spans="1:37" ht="15.5">
      <c r="A70" s="59">
        <v>2021</v>
      </c>
      <c r="B70" s="59" t="str">
        <f>LEFT(report_47_flagged!B62,2)</f>
        <v>47</v>
      </c>
      <c r="C70" s="59">
        <f>report_47_flagged!E62</f>
        <v>3800</v>
      </c>
      <c r="D70" s="260">
        <f>report_47_flagged!AM62</f>
        <v>3962.9</v>
      </c>
      <c r="E70" s="59" t="str">
        <f>report_47_flagged!D62</f>
        <v>McLane-PARFLUX-Mark78H-21 ; frame# 10705, controller# 11649-01 and Motor # 11649-01 Cup set Lx21</v>
      </c>
      <c r="H70" s="59">
        <f>report_47_flagged!C62</f>
        <v>15</v>
      </c>
      <c r="I70" s="59">
        <f>report_47_flagged!F62</f>
        <v>1</v>
      </c>
      <c r="J70" s="66">
        <f>report_47_flagged!AC62</f>
        <v>44553</v>
      </c>
      <c r="K70" s="66">
        <f>report_47_flagged!AD62</f>
        <v>44570</v>
      </c>
      <c r="L70" s="66">
        <f>report_47_flagged!AE62</f>
        <v>44561.5</v>
      </c>
      <c r="M70" s="260">
        <f>report_47_flagged!AF62</f>
        <v>17</v>
      </c>
      <c r="N70" s="261">
        <f>report_47_flagged!H62</f>
        <v>69.615126050420159</v>
      </c>
      <c r="O70" s="261">
        <f t="shared" si="0"/>
        <v>4.1769075630252089E-2</v>
      </c>
      <c r="P70" s="261">
        <f>report_47_flagged!J62</f>
        <v>1</v>
      </c>
      <c r="Q70" s="262">
        <f>report_47_flagged!BA62</f>
        <v>37.5</v>
      </c>
      <c r="R70" s="262">
        <f t="shared" si="1"/>
        <v>0.82499999999999996</v>
      </c>
      <c r="S70" s="263">
        <f>report_47_flagged!BB62</f>
        <v>1</v>
      </c>
      <c r="T70" s="262">
        <f>report_47_flagged!BC62</f>
        <v>8.56</v>
      </c>
      <c r="U70" s="262">
        <f t="shared" si="2"/>
        <v>0.24824000000000002</v>
      </c>
      <c r="V70" s="263">
        <f>report_47_flagged!BD62</f>
        <v>1</v>
      </c>
      <c r="W70" s="264">
        <f>(report_47_flagged!N62/100)*report_47_flagged!H62</f>
        <v>8.4961277403951687</v>
      </c>
      <c r="X70" s="264">
        <f t="shared" si="3"/>
        <v>0.17849149164439107</v>
      </c>
      <c r="Y70" s="260">
        <f>report_47_flagged!AP62</f>
        <v>1</v>
      </c>
      <c r="Z70" s="264">
        <f>(report_47_flagged!P62/100)*report_47_flagged!H62</f>
        <v>0.37680667641283078</v>
      </c>
      <c r="AA70" s="264">
        <f t="shared" si="4"/>
        <v>1.4320438466186218E-2</v>
      </c>
      <c r="AB70" s="260">
        <f>report_47_flagged!AR62</f>
        <v>1</v>
      </c>
      <c r="AC70" s="264">
        <f>(report_47_flagged!R62/100)*report_47_flagged!H62</f>
        <v>2.7069965376302498</v>
      </c>
      <c r="AD70" s="264">
        <f t="shared" si="5"/>
        <v>7.5813303177012167E-2</v>
      </c>
      <c r="AE70" s="260">
        <f>report_47_flagged!AT62</f>
        <v>1</v>
      </c>
      <c r="AF70" s="264">
        <f>(report_47_flagged!L62/100)*report_47_flagged!H62</f>
        <v>5.789131202764918</v>
      </c>
      <c r="AG70" s="264">
        <f t="shared" si="6"/>
        <v>0.11004832358709578</v>
      </c>
      <c r="AH70" s="260">
        <f>report_47_flagged!AV62</f>
        <v>1</v>
      </c>
      <c r="AI70" s="264">
        <f>(report_47_flagged!T62/100)*report_47_flagged!H62</f>
        <v>4.6142992032059169</v>
      </c>
      <c r="AJ70" s="264">
        <f t="shared" si="7"/>
        <v>0.22611761080862797</v>
      </c>
      <c r="AK70" s="260">
        <f>report_47_flagged!AX62</f>
        <v>1</v>
      </c>
    </row>
    <row r="71" spans="1:37" ht="15.5">
      <c r="A71" s="59">
        <v>2021</v>
      </c>
      <c r="B71" s="59" t="str">
        <f>LEFT(report_47_flagged!B63,2)</f>
        <v>47</v>
      </c>
      <c r="C71" s="59">
        <f>report_47_flagged!E63</f>
        <v>3800</v>
      </c>
      <c r="D71" s="260">
        <f>report_47_flagged!AM63</f>
        <v>3962.9</v>
      </c>
      <c r="E71" s="59" t="str">
        <f>report_47_flagged!D63</f>
        <v>McLane-PARFLUX-Mark78H-21 ; frame# 10705, controller# 11649-01 and Motor # 11649-01 Cup set Lx21</v>
      </c>
      <c r="H71" s="59">
        <f>report_47_flagged!C63</f>
        <v>16</v>
      </c>
      <c r="I71" s="59">
        <f>report_47_flagged!F63</f>
        <v>1</v>
      </c>
      <c r="J71" s="66">
        <f>report_47_flagged!AC63</f>
        <v>44570</v>
      </c>
      <c r="K71" s="66">
        <f>report_47_flagged!AD63</f>
        <v>44587</v>
      </c>
      <c r="L71" s="66">
        <f>report_47_flagged!AE63</f>
        <v>44578.5</v>
      </c>
      <c r="M71" s="260">
        <f>report_47_flagged!AF63</f>
        <v>17</v>
      </c>
      <c r="N71" s="261">
        <f>report_47_flagged!H63</f>
        <v>149.03193277310925</v>
      </c>
      <c r="O71" s="261">
        <f t="shared" si="0"/>
        <v>8.9419159663865544E-2</v>
      </c>
      <c r="P71" s="261">
        <f>report_47_flagged!J63</f>
        <v>1</v>
      </c>
      <c r="Q71" s="262">
        <f>report_47_flagged!BA63</f>
        <v>39.39</v>
      </c>
      <c r="R71" s="262">
        <f t="shared" si="1"/>
        <v>0.86658000000000002</v>
      </c>
      <c r="S71" s="263">
        <f>report_47_flagged!BB63</f>
        <v>1</v>
      </c>
      <c r="T71" s="262">
        <f>report_47_flagged!BC63</f>
        <v>8.51</v>
      </c>
      <c r="U71" s="262">
        <f t="shared" si="2"/>
        <v>0.24679000000000001</v>
      </c>
      <c r="V71" s="263">
        <f>report_47_flagged!BD63</f>
        <v>1</v>
      </c>
      <c r="W71" s="264">
        <f>(report_47_flagged!N63/100)*report_47_flagged!H63</f>
        <v>18.279715770192507</v>
      </c>
      <c r="X71" s="264">
        <f t="shared" si="3"/>
        <v>0.38403068248893851</v>
      </c>
      <c r="Y71" s="260">
        <f>report_47_flagged!AP63</f>
        <v>1</v>
      </c>
      <c r="Z71" s="264">
        <f>(report_47_flagged!P63/100)*report_47_flagged!H63</f>
        <v>1.2797838975942435</v>
      </c>
      <c r="AA71" s="264">
        <f t="shared" si="4"/>
        <v>4.8637849865046247E-2</v>
      </c>
      <c r="AB71" s="260">
        <f>report_47_flagged!AR63</f>
        <v>1</v>
      </c>
      <c r="AC71" s="264">
        <f>(report_47_flagged!R63/100)*report_47_flagged!H63</f>
        <v>9.0674362307821603</v>
      </c>
      <c r="AD71" s="264">
        <f t="shared" si="5"/>
        <v>0.25394649843338996</v>
      </c>
      <c r="AE71" s="260">
        <f>report_47_flagged!AT63</f>
        <v>1</v>
      </c>
      <c r="AF71" s="264">
        <f>(report_47_flagged!L63/100)*report_47_flagged!H63</f>
        <v>9.2122795394103463</v>
      </c>
      <c r="AG71" s="264">
        <f t="shared" si="6"/>
        <v>0.17512056372873661</v>
      </c>
      <c r="AH71" s="260">
        <f>report_47_flagged!AV63</f>
        <v>1</v>
      </c>
      <c r="AI71" s="264">
        <f>(report_47_flagged!T63/100)*report_47_flagged!H63</f>
        <v>18.038102625953552</v>
      </c>
      <c r="AJ71" s="264">
        <f t="shared" si="7"/>
        <v>0.88393328860591414</v>
      </c>
      <c r="AK71" s="260">
        <f>report_47_flagged!AX63</f>
        <v>1</v>
      </c>
    </row>
    <row r="72" spans="1:37" ht="15.5">
      <c r="A72" s="59">
        <v>2021</v>
      </c>
      <c r="B72" s="59" t="str">
        <f>LEFT(report_47_flagged!B64,2)</f>
        <v>47</v>
      </c>
      <c r="C72" s="59">
        <f>report_47_flagged!E64</f>
        <v>3800</v>
      </c>
      <c r="D72" s="260">
        <f>report_47_flagged!AM64</f>
        <v>3962.9</v>
      </c>
      <c r="E72" s="59" t="str">
        <f>report_47_flagged!D64</f>
        <v>McLane-PARFLUX-Mark78H-21 ; frame# 10705, controller# 11649-01 and Motor # 11649-01 Cup set Lx21</v>
      </c>
      <c r="H72" s="59">
        <f>report_47_flagged!C64</f>
        <v>17</v>
      </c>
      <c r="I72" s="59">
        <f>report_47_flagged!F64</f>
        <v>1</v>
      </c>
      <c r="J72" s="66">
        <f>report_47_flagged!AC64</f>
        <v>44587</v>
      </c>
      <c r="K72" s="66">
        <f>report_47_flagged!AD64</f>
        <v>44604</v>
      </c>
      <c r="L72" s="66">
        <f>report_47_flagged!AE64</f>
        <v>44595.5</v>
      </c>
      <c r="M72" s="260">
        <f>report_47_flagged!AF64</f>
        <v>17</v>
      </c>
      <c r="N72" s="261">
        <f>report_47_flagged!H64</f>
        <v>146.38823529411764</v>
      </c>
      <c r="O72" s="261">
        <f t="shared" si="0"/>
        <v>8.7832941176470572E-2</v>
      </c>
      <c r="P72" s="261">
        <f>report_47_flagged!J64</f>
        <v>1</v>
      </c>
      <c r="Q72" s="262">
        <f>report_47_flagged!BA64</f>
        <v>37.54</v>
      </c>
      <c r="R72" s="262">
        <f t="shared" si="1"/>
        <v>0.82587999999999995</v>
      </c>
      <c r="S72" s="263">
        <f>report_47_flagged!BB64</f>
        <v>1</v>
      </c>
      <c r="T72" s="262">
        <f>report_47_flagged!BC64</f>
        <v>8.44</v>
      </c>
      <c r="U72" s="262">
        <f t="shared" si="2"/>
        <v>0.24476000000000001</v>
      </c>
      <c r="V72" s="263">
        <f>report_47_flagged!BD64</f>
        <v>1</v>
      </c>
      <c r="W72" s="264">
        <f>(report_47_flagged!N64/100)*report_47_flagged!H64</f>
        <v>17.882582416983212</v>
      </c>
      <c r="X72" s="264">
        <f t="shared" si="3"/>
        <v>0.37568747876578346</v>
      </c>
      <c r="Y72" s="260">
        <f>report_47_flagged!AP64</f>
        <v>1</v>
      </c>
      <c r="Z72" s="264">
        <f>(report_47_flagged!P64/100)*report_47_flagged!H64</f>
        <v>1.267373357772827</v>
      </c>
      <c r="AA72" s="264">
        <f t="shared" si="4"/>
        <v>4.8166190568728388E-2</v>
      </c>
      <c r="AB72" s="260">
        <f>report_47_flagged!AR64</f>
        <v>1</v>
      </c>
      <c r="AC72" s="264">
        <f>(report_47_flagged!R64/100)*report_47_flagged!H64</f>
        <v>9.051402775332253</v>
      </c>
      <c r="AD72" s="264">
        <f t="shared" si="5"/>
        <v>0.25349745862040851</v>
      </c>
      <c r="AE72" s="260">
        <f>report_47_flagged!AT64</f>
        <v>1</v>
      </c>
      <c r="AF72" s="264">
        <f>(report_47_flagged!L64/100)*report_47_flagged!H64</f>
        <v>8.8311796416509551</v>
      </c>
      <c r="AG72" s="264">
        <f t="shared" si="6"/>
        <v>0.16787605615088036</v>
      </c>
      <c r="AH72" s="260">
        <f>report_47_flagged!AV64</f>
        <v>1</v>
      </c>
      <c r="AI72" s="264">
        <f>(report_47_flagged!T64/100)*report_47_flagged!H64</f>
        <v>17.834732522794837</v>
      </c>
      <c r="AJ72" s="264">
        <f t="shared" si="7"/>
        <v>0.87396740650529037</v>
      </c>
      <c r="AK72" s="260">
        <f>report_47_flagged!AX64</f>
        <v>1</v>
      </c>
    </row>
    <row r="73" spans="1:37" ht="15.5">
      <c r="A73" s="59">
        <v>2021</v>
      </c>
      <c r="B73" s="59" t="str">
        <f>LEFT(report_47_flagged!B65,2)</f>
        <v>47</v>
      </c>
      <c r="C73" s="59">
        <f>report_47_flagged!E65</f>
        <v>3800</v>
      </c>
      <c r="D73" s="260">
        <f>report_47_flagged!AM65</f>
        <v>3962.9</v>
      </c>
      <c r="E73" s="59" t="str">
        <f>report_47_flagged!D65</f>
        <v>McLane-PARFLUX-Mark78H-21 ; frame# 10705, controller# 11649-01 and Motor # 11649-01 Cup set Lx21</v>
      </c>
      <c r="H73" s="59">
        <f>report_47_flagged!C65</f>
        <v>18</v>
      </c>
      <c r="I73" s="59">
        <f>report_47_flagged!F65</f>
        <v>1</v>
      </c>
      <c r="J73" s="66">
        <f>report_47_flagged!AC65</f>
        <v>44604</v>
      </c>
      <c r="K73" s="66">
        <f>report_47_flagged!AD65</f>
        <v>44621</v>
      </c>
      <c r="L73" s="66">
        <f>report_47_flagged!AE65</f>
        <v>44612.5</v>
      </c>
      <c r="M73" s="260">
        <f>report_47_flagged!AF65</f>
        <v>17</v>
      </c>
      <c r="N73" s="261">
        <f>report_47_flagged!H65</f>
        <v>97.223529411764702</v>
      </c>
      <c r="O73" s="261">
        <f t="shared" si="0"/>
        <v>5.8334117647058814E-2</v>
      </c>
      <c r="P73" s="261">
        <f>report_47_flagged!J65</f>
        <v>1</v>
      </c>
      <c r="Q73" s="262">
        <f>report_47_flagged!BA65</f>
        <v>38.770000000000003</v>
      </c>
      <c r="R73" s="262">
        <f t="shared" si="1"/>
        <v>0.85294000000000003</v>
      </c>
      <c r="S73" s="263">
        <f>report_47_flagged!BB65</f>
        <v>1</v>
      </c>
      <c r="T73" s="262">
        <f>report_47_flagged!BC65</f>
        <v>8.49</v>
      </c>
      <c r="U73" s="262">
        <f t="shared" si="2"/>
        <v>0.24621000000000001</v>
      </c>
      <c r="V73" s="263">
        <f>report_47_flagged!BD65</f>
        <v>1</v>
      </c>
      <c r="W73" s="264">
        <f>(report_47_flagged!N65/100)*report_47_flagged!H65</f>
        <v>12.840259391335879</v>
      </c>
      <c r="X73" s="264">
        <f t="shared" si="3"/>
        <v>0.26975548413233286</v>
      </c>
      <c r="Y73" s="260">
        <f>report_47_flagged!AP65</f>
        <v>1</v>
      </c>
      <c r="Z73" s="264">
        <f>(report_47_flagged!P65/100)*report_47_flagged!H65</f>
        <v>0.94082850568434773</v>
      </c>
      <c r="AA73" s="264">
        <f t="shared" si="4"/>
        <v>3.5755939494356195E-2</v>
      </c>
      <c r="AB73" s="260">
        <f>report_47_flagged!AR65</f>
        <v>1</v>
      </c>
      <c r="AC73" s="264">
        <f>(report_47_flagged!R65/100)*report_47_flagged!H65</f>
        <v>6.3408017872635982</v>
      </c>
      <c r="AD73" s="264">
        <f t="shared" si="5"/>
        <v>0.17758320766231331</v>
      </c>
      <c r="AE73" s="260">
        <f>report_47_flagged!AT65</f>
        <v>1</v>
      </c>
      <c r="AF73" s="264">
        <f>(report_47_flagged!L65/100)*report_47_flagged!H65</f>
        <v>6.4994576040722816</v>
      </c>
      <c r="AG73" s="264">
        <f t="shared" si="6"/>
        <v>0.12355125294309233</v>
      </c>
      <c r="AH73" s="260">
        <f>report_47_flagged!AV65</f>
        <v>1</v>
      </c>
      <c r="AI73" s="264">
        <f>(report_47_flagged!T65/100)*report_47_flagged!H65</f>
        <v>9.5493794674063164</v>
      </c>
      <c r="AJ73" s="264">
        <f t="shared" si="7"/>
        <v>0.46795467194122581</v>
      </c>
      <c r="AK73" s="260">
        <f>report_47_flagged!AX65</f>
        <v>1</v>
      </c>
    </row>
    <row r="74" spans="1:37" ht="15.5">
      <c r="A74" s="59">
        <v>2021</v>
      </c>
      <c r="B74" s="59" t="str">
        <f>LEFT(report_47_flagged!B66,2)</f>
        <v>47</v>
      </c>
      <c r="C74" s="59">
        <f>report_47_flagged!E66</f>
        <v>3800</v>
      </c>
      <c r="D74" s="260">
        <f>report_47_flagged!AM66</f>
        <v>3962.9</v>
      </c>
      <c r="E74" s="59" t="str">
        <f>report_47_flagged!D66</f>
        <v>McLane-PARFLUX-Mark78H-21 ; frame# 10705, controller# 11649-01 and Motor # 11649-01 Cup set Lx21</v>
      </c>
      <c r="H74" s="59">
        <f>report_47_flagged!C66</f>
        <v>19</v>
      </c>
      <c r="I74" s="59">
        <f>report_47_flagged!F66</f>
        <v>1</v>
      </c>
      <c r="J74" s="66">
        <f>report_47_flagged!AC66</f>
        <v>44621</v>
      </c>
      <c r="K74" s="66">
        <f>report_47_flagged!AD66</f>
        <v>44638</v>
      </c>
      <c r="L74" s="66">
        <f>report_47_flagged!AE66</f>
        <v>44629.5</v>
      </c>
      <c r="M74" s="260">
        <f>report_47_flagged!AF66</f>
        <v>17</v>
      </c>
      <c r="N74" s="261">
        <f>report_47_flagged!H66</f>
        <v>62.902521008403362</v>
      </c>
      <c r="O74" s="261">
        <f t="shared" si="0"/>
        <v>3.7741512605042014E-2</v>
      </c>
      <c r="P74" s="261">
        <f>report_47_flagged!J66</f>
        <v>1</v>
      </c>
      <c r="Q74" s="262">
        <f>report_47_flagged!BA66</f>
        <v>37.58</v>
      </c>
      <c r="R74" s="262">
        <f t="shared" si="1"/>
        <v>0.82675999999999994</v>
      </c>
      <c r="S74" s="263">
        <f>report_47_flagged!BB66</f>
        <v>1</v>
      </c>
      <c r="T74" s="262">
        <f>report_47_flagged!BC66</f>
        <v>8.58</v>
      </c>
      <c r="U74" s="262">
        <f t="shared" si="2"/>
        <v>0.24882000000000001</v>
      </c>
      <c r="V74" s="263">
        <f>report_47_flagged!BD66</f>
        <v>1</v>
      </c>
      <c r="W74" s="264">
        <f>(report_47_flagged!N66/100)*report_47_flagged!H66</f>
        <v>8.0267397523126682</v>
      </c>
      <c r="X74" s="264">
        <f t="shared" si="3"/>
        <v>0.16863032138979833</v>
      </c>
      <c r="Y74" s="260">
        <f>report_47_flagged!AP66</f>
        <v>1</v>
      </c>
      <c r="Z74" s="264">
        <f>(report_47_flagged!P66/100)*report_47_flagged!H66</f>
        <v>0.47734697746930005</v>
      </c>
      <c r="AA74" s="264">
        <f t="shared" si="4"/>
        <v>1.8141446120184302E-2</v>
      </c>
      <c r="AB74" s="260">
        <f>report_47_flagged!AR66</f>
        <v>1</v>
      </c>
      <c r="AC74" s="264">
        <f>(report_47_flagged!R66/100)*report_47_flagged!H66</f>
        <v>3.169785364134341</v>
      </c>
      <c r="AD74" s="264">
        <f t="shared" si="5"/>
        <v>8.8774365048706616E-2</v>
      </c>
      <c r="AE74" s="260">
        <f>report_47_flagged!AT66</f>
        <v>1</v>
      </c>
      <c r="AF74" s="264">
        <f>(report_47_flagged!L66/100)*report_47_flagged!H66</f>
        <v>4.8569543881783277</v>
      </c>
      <c r="AG74" s="264">
        <f t="shared" si="6"/>
        <v>9.2328135161755143E-2</v>
      </c>
      <c r="AH74" s="260">
        <f>report_47_flagged!AV66</f>
        <v>1</v>
      </c>
      <c r="AI74" s="264">
        <f>(report_47_flagged!T66/100)*report_47_flagged!H66</f>
        <v>4.7408860210732877</v>
      </c>
      <c r="AJ74" s="264">
        <f t="shared" si="7"/>
        <v>0.23232082987950006</v>
      </c>
      <c r="AK74" s="260">
        <f>report_47_flagged!AX66</f>
        <v>1</v>
      </c>
    </row>
    <row r="75" spans="1:37" ht="15.5">
      <c r="A75" s="59">
        <v>2021</v>
      </c>
      <c r="B75" s="59" t="str">
        <f>LEFT(report_47_flagged!B67,2)</f>
        <v>47</v>
      </c>
      <c r="C75" s="59">
        <f>report_47_flagged!E67</f>
        <v>3800</v>
      </c>
      <c r="D75" s="260">
        <f>report_47_flagged!AM67</f>
        <v>3962.9</v>
      </c>
      <c r="E75" s="59" t="str">
        <f>report_47_flagged!D67</f>
        <v>McLane-PARFLUX-Mark78H-21 ; frame# 10705, controller# 11649-01 and Motor # 11649-01 Cup set Lx21</v>
      </c>
      <c r="H75" s="59">
        <f>report_47_flagged!C67</f>
        <v>20</v>
      </c>
      <c r="I75" s="59">
        <f>report_47_flagged!F67</f>
        <v>1</v>
      </c>
      <c r="J75" s="66">
        <f>report_47_flagged!AC67</f>
        <v>44638</v>
      </c>
      <c r="K75" s="66">
        <f>report_47_flagged!AD67</f>
        <v>44655</v>
      </c>
      <c r="L75" s="66">
        <f>report_47_flagged!AE67</f>
        <v>44646.5</v>
      </c>
      <c r="M75" s="260">
        <f>report_47_flagged!AF67</f>
        <v>17</v>
      </c>
      <c r="N75" s="261">
        <f>report_47_flagged!H67</f>
        <v>36.206722689075633</v>
      </c>
      <c r="O75" s="261">
        <f t="shared" si="0"/>
        <v>2.1724033613445378E-2</v>
      </c>
      <c r="P75" s="261">
        <f>report_47_flagged!J67</f>
        <v>1</v>
      </c>
      <c r="Q75" s="262">
        <f>report_47_flagged!BA67</f>
        <v>37.700000000000003</v>
      </c>
      <c r="R75" s="262">
        <f t="shared" si="1"/>
        <v>0.82940000000000003</v>
      </c>
      <c r="S75" s="263">
        <f>report_47_flagged!BB67</f>
        <v>1</v>
      </c>
      <c r="T75" s="262">
        <f>report_47_flagged!BC67</f>
        <v>8.6</v>
      </c>
      <c r="U75" s="262">
        <f t="shared" si="2"/>
        <v>0.24940000000000001</v>
      </c>
      <c r="V75" s="263">
        <f>report_47_flagged!BD67</f>
        <v>1</v>
      </c>
      <c r="W75" s="264">
        <f>(report_47_flagged!N67/100)*report_47_flagged!H67</f>
        <v>4.7951221733093261</v>
      </c>
      <c r="X75" s="264">
        <f t="shared" si="3"/>
        <v>0.10073865830214873</v>
      </c>
      <c r="Y75" s="260">
        <f>report_47_flagged!AP67</f>
        <v>1</v>
      </c>
      <c r="Z75" s="264">
        <f>(report_47_flagged!P67/100)*report_47_flagged!H67</f>
        <v>0.31104070524708566</v>
      </c>
      <c r="AA75" s="264">
        <f t="shared" si="4"/>
        <v>1.1821020058280427E-2</v>
      </c>
      <c r="AB75" s="260">
        <f>report_47_flagged!AR67</f>
        <v>1</v>
      </c>
      <c r="AC75" s="264">
        <f>(report_47_flagged!R67/100)*report_47_flagged!H67</f>
        <v>1.957741840005053</v>
      </c>
      <c r="AD75" s="264">
        <f t="shared" si="5"/>
        <v>5.4829355558968167E-2</v>
      </c>
      <c r="AE75" s="260">
        <f>report_47_flagged!AT67</f>
        <v>1</v>
      </c>
      <c r="AF75" s="264">
        <f>(report_47_flagged!L67/100)*report_47_flagged!H67</f>
        <v>2.8373803333042735</v>
      </c>
      <c r="AG75" s="264">
        <f t="shared" si="6"/>
        <v>5.3937100079887418E-2</v>
      </c>
      <c r="AH75" s="260">
        <f>report_47_flagged!AV67</f>
        <v>1</v>
      </c>
      <c r="AI75" s="264">
        <f>(report_47_flagged!T67/100)*report_47_flagged!H67</f>
        <v>2.3493782011764708</v>
      </c>
      <c r="AJ75" s="264">
        <f t="shared" si="7"/>
        <v>0.11512816190306957</v>
      </c>
      <c r="AK75" s="260">
        <f>report_47_flagged!AX67</f>
        <v>1</v>
      </c>
    </row>
    <row r="76" spans="1:37" ht="15.5">
      <c r="A76" s="59">
        <v>2021</v>
      </c>
      <c r="B76" s="59" t="str">
        <f>LEFT(report_47_flagged!B68,2)</f>
        <v>47</v>
      </c>
      <c r="C76" s="59">
        <f>report_47_flagged!E68</f>
        <v>3800</v>
      </c>
      <c r="D76" s="260">
        <f>report_47_flagged!AM68</f>
        <v>3962.9</v>
      </c>
      <c r="E76" s="59" t="str">
        <f>report_47_flagged!D68</f>
        <v>McLane-PARFLUX-Mark78H-21 ; frame# 10705, controller# 11649-01 and Motor # 11649-01 Cup set Lx21</v>
      </c>
      <c r="H76" s="59">
        <f>report_47_flagged!C68</f>
        <v>21</v>
      </c>
      <c r="I76" s="59">
        <f>report_47_flagged!F68</f>
        <v>1</v>
      </c>
      <c r="J76" s="66">
        <f>report_47_flagged!AC68</f>
        <v>44655</v>
      </c>
      <c r="K76" s="66">
        <f>report_47_flagged!AD68</f>
        <v>44672</v>
      </c>
      <c r="L76" s="66">
        <f>report_47_flagged!AE68</f>
        <v>44663.5</v>
      </c>
      <c r="M76" s="260">
        <f>report_47_flagged!AF68</f>
        <v>17</v>
      </c>
      <c r="N76" s="261">
        <f>report_47_flagged!H68</f>
        <v>45.69747899159664</v>
      </c>
      <c r="O76" s="261">
        <f t="shared" si="0"/>
        <v>2.7418487394957981E-2</v>
      </c>
      <c r="P76" s="261">
        <f>report_47_flagged!J68</f>
        <v>1</v>
      </c>
      <c r="Q76" s="262">
        <f>report_47_flagged!BA68</f>
        <v>36.96</v>
      </c>
      <c r="R76" s="262">
        <f t="shared" si="1"/>
        <v>0.81311999999999995</v>
      </c>
      <c r="S76" s="263">
        <f>report_47_flagged!BB68</f>
        <v>1</v>
      </c>
      <c r="T76" s="262">
        <f>report_47_flagged!BC68</f>
        <v>8.57</v>
      </c>
      <c r="U76" s="262">
        <f t="shared" si="2"/>
        <v>0.24853000000000003</v>
      </c>
      <c r="V76" s="263">
        <f>report_47_flagged!BD68</f>
        <v>1</v>
      </c>
      <c r="W76" s="264">
        <f>(report_47_flagged!N68/100)*report_47_flagged!H68</f>
        <v>5.7464086500536489</v>
      </c>
      <c r="X76" s="264">
        <f t="shared" si="3"/>
        <v>0.12072382653448678</v>
      </c>
      <c r="Y76" s="260">
        <f>report_47_flagged!AP68</f>
        <v>1</v>
      </c>
      <c r="Z76" s="264">
        <f>(report_47_flagged!P68/100)*report_47_flagged!H68</f>
        <v>0.26592820274729689</v>
      </c>
      <c r="AA76" s="264">
        <f t="shared" si="4"/>
        <v>1.0106531285804158E-2</v>
      </c>
      <c r="AB76" s="260">
        <f>report_47_flagged!AR68</f>
        <v>1</v>
      </c>
      <c r="AC76" s="264">
        <f>(report_47_flagged!R68/100)*report_47_flagged!H68</f>
        <v>1.8615772331404106</v>
      </c>
      <c r="AD76" s="264">
        <f t="shared" si="5"/>
        <v>5.2136128436664715E-2</v>
      </c>
      <c r="AE76" s="260">
        <f>report_47_flagged!AT68</f>
        <v>1</v>
      </c>
      <c r="AF76" s="264">
        <f>(report_47_flagged!L68/100)*report_47_flagged!H68</f>
        <v>3.8848314169132392</v>
      </c>
      <c r="AG76" s="264">
        <f t="shared" si="6"/>
        <v>7.3848591416549453E-2</v>
      </c>
      <c r="AH76" s="260">
        <f>report_47_flagged!AV68</f>
        <v>1</v>
      </c>
      <c r="AI76" s="264">
        <f>(report_47_flagged!T68/100)*report_47_flagged!H68</f>
        <v>2.6074254281571387</v>
      </c>
      <c r="AJ76" s="264">
        <f t="shared" si="7"/>
        <v>0.12777342391818136</v>
      </c>
      <c r="AK76" s="260">
        <f>report_47_flagged!AX68</f>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0FED-22F3-471E-BD32-84AB526AB766}">
  <dimension ref="A1:D7"/>
  <sheetViews>
    <sheetView workbookViewId="0">
      <selection activeCell="L25" sqref="L25"/>
    </sheetView>
  </sheetViews>
  <sheetFormatPr defaultColWidth="9.1796875" defaultRowHeight="14.5"/>
  <cols>
    <col min="1" max="16384" width="9.1796875" style="33"/>
  </cols>
  <sheetData>
    <row r="1" spans="1:4">
      <c r="A1" s="59" t="s">
        <v>2026</v>
      </c>
      <c r="B1" s="59" t="s">
        <v>2166</v>
      </c>
      <c r="C1" s="59" t="s">
        <v>2167</v>
      </c>
    </row>
    <row r="2" spans="1:4">
      <c r="A2" s="59" t="s">
        <v>278</v>
      </c>
      <c r="B2" s="59">
        <v>1201.9000000000001</v>
      </c>
      <c r="C2" s="59">
        <v>1200.0999999999999</v>
      </c>
    </row>
    <row r="3" spans="1:4">
      <c r="A3" s="59" t="s">
        <v>279</v>
      </c>
      <c r="B3" s="59">
        <v>2207.9</v>
      </c>
      <c r="C3" s="59">
        <v>2207.1999999999998</v>
      </c>
    </row>
    <row r="4" spans="1:4">
      <c r="A4" s="59" t="s">
        <v>280</v>
      </c>
      <c r="B4" s="59">
        <v>3962.9</v>
      </c>
      <c r="C4" s="59">
        <v>3962.6</v>
      </c>
    </row>
    <row r="5" spans="1:4">
      <c r="A5" s="59" t="s">
        <v>2168</v>
      </c>
      <c r="B5" s="59">
        <v>1425.8</v>
      </c>
      <c r="C5" s="59">
        <v>1424.1</v>
      </c>
      <c r="D5" s="59" t="s">
        <v>2169</v>
      </c>
    </row>
    <row r="7" spans="1:4">
      <c r="B7" s="33">
        <f>B5-B2</f>
        <v>223.89999999999986</v>
      </c>
      <c r="C7" s="265">
        <f>C5-C2</f>
        <v>224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19115-5614-4228-89CC-4E8987F775B3}">
  <dimension ref="A1"/>
  <sheetViews>
    <sheetView zoomScale="60" zoomScaleNormal="60" workbookViewId="0">
      <selection activeCell="AE70" sqref="AE70"/>
    </sheetView>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0"/>
  <sheetViews>
    <sheetView workbookViewId="0">
      <selection activeCell="A4" sqref="A4"/>
    </sheetView>
  </sheetViews>
  <sheetFormatPr defaultColWidth="8.81640625" defaultRowHeight="14.5"/>
  <sheetData>
    <row r="1" spans="1:1">
      <c r="A1" t="s">
        <v>137</v>
      </c>
    </row>
    <row r="2" spans="1:1">
      <c r="A2" t="s">
        <v>138</v>
      </c>
    </row>
    <row r="3" spans="1:1">
      <c r="A3" t="s">
        <v>139</v>
      </c>
    </row>
    <row r="4" spans="1:1">
      <c r="A4" t="s">
        <v>177</v>
      </c>
    </row>
    <row r="5" spans="1:1">
      <c r="A5" s="87" t="s">
        <v>140</v>
      </c>
    </row>
    <row r="6" spans="1:1">
      <c r="A6" s="87"/>
    </row>
    <row r="7" spans="1:1">
      <c r="A7" s="87" t="s">
        <v>141</v>
      </c>
    </row>
    <row r="8" spans="1:1">
      <c r="A8" s="87"/>
    </row>
    <row r="9" spans="1:1">
      <c r="A9" s="87" t="s">
        <v>142</v>
      </c>
    </row>
    <row r="10" spans="1:1">
      <c r="A10" s="87"/>
    </row>
    <row r="11" spans="1:1">
      <c r="A11" s="88" t="s">
        <v>143</v>
      </c>
    </row>
    <row r="12" spans="1:1" ht="16">
      <c r="A12" s="89"/>
    </row>
    <row r="13" spans="1:1">
      <c r="A13" s="90" t="s">
        <v>144</v>
      </c>
    </row>
    <row r="14" spans="1:1" ht="16">
      <c r="A14" s="89"/>
    </row>
    <row r="15" spans="1:1">
      <c r="A15" s="90" t="s">
        <v>145</v>
      </c>
    </row>
    <row r="16" spans="1:1">
      <c r="A16" s="90" t="s">
        <v>146</v>
      </c>
    </row>
    <row r="17" spans="1:1" ht="16">
      <c r="A17" s="89"/>
    </row>
    <row r="18" spans="1:1">
      <c r="A18" s="90" t="s">
        <v>147</v>
      </c>
    </row>
    <row r="19" spans="1:1">
      <c r="A19" s="90" t="s">
        <v>148</v>
      </c>
    </row>
    <row r="20" spans="1:1">
      <c r="A20" s="90" t="s">
        <v>149</v>
      </c>
    </row>
    <row r="21" spans="1:1" ht="16">
      <c r="A21" s="89"/>
    </row>
    <row r="22" spans="1:1">
      <c r="A22" s="90" t="s">
        <v>150</v>
      </c>
    </row>
    <row r="23" spans="1:1">
      <c r="A23" s="90" t="s">
        <v>151</v>
      </c>
    </row>
    <row r="24" spans="1:1" ht="16">
      <c r="A24" s="89"/>
    </row>
    <row r="25" spans="1:1">
      <c r="A25" s="90" t="s">
        <v>152</v>
      </c>
    </row>
    <row r="26" spans="1:1" ht="16">
      <c r="A26" s="89"/>
    </row>
    <row r="27" spans="1:1">
      <c r="A27" s="90" t="s">
        <v>153</v>
      </c>
    </row>
    <row r="28" spans="1:1" ht="16">
      <c r="A28" s="91"/>
    </row>
    <row r="29" spans="1:1">
      <c r="A29" s="87"/>
    </row>
    <row r="30" spans="1:1">
      <c r="A30" s="87"/>
    </row>
    <row r="31" spans="1:1">
      <c r="A31" s="92" t="s">
        <v>154</v>
      </c>
    </row>
    <row r="32" spans="1:1">
      <c r="A32" s="92" t="s">
        <v>155</v>
      </c>
    </row>
    <row r="33" spans="1:1">
      <c r="A33" s="92"/>
    </row>
    <row r="34" spans="1:1">
      <c r="A34" s="92" t="s">
        <v>156</v>
      </c>
    </row>
    <row r="35" spans="1:1">
      <c r="A35" s="92" t="s">
        <v>157</v>
      </c>
    </row>
    <row r="36" spans="1:1">
      <c r="A36" s="92" t="s">
        <v>158</v>
      </c>
    </row>
    <row r="37" spans="1:1">
      <c r="A37" s="92" t="s">
        <v>159</v>
      </c>
    </row>
    <row r="38" spans="1:1">
      <c r="A38" s="92" t="s">
        <v>160</v>
      </c>
    </row>
    <row r="39" spans="1:1">
      <c r="A39" s="92" t="s">
        <v>161</v>
      </c>
    </row>
    <row r="40" spans="1:1">
      <c r="A40" s="92" t="s">
        <v>162</v>
      </c>
    </row>
    <row r="41" spans="1:1">
      <c r="A41" s="92" t="s">
        <v>163</v>
      </c>
    </row>
    <row r="42" spans="1:1">
      <c r="A42" s="92"/>
    </row>
    <row r="43" spans="1:1">
      <c r="A43" s="92" t="s">
        <v>164</v>
      </c>
    </row>
    <row r="44" spans="1:1">
      <c r="A44" s="92"/>
    </row>
    <row r="45" spans="1:1">
      <c r="A45" s="92" t="s">
        <v>165</v>
      </c>
    </row>
    <row r="46" spans="1:1">
      <c r="A46" s="92"/>
    </row>
    <row r="47" spans="1:1">
      <c r="A47" s="92" t="s">
        <v>166</v>
      </c>
    </row>
    <row r="48" spans="1:1">
      <c r="A48" s="92" t="s">
        <v>167</v>
      </c>
    </row>
    <row r="49" spans="1:1">
      <c r="A49" s="92" t="s">
        <v>168</v>
      </c>
    </row>
    <row r="50" spans="1:1">
      <c r="A50" s="92" t="s">
        <v>169</v>
      </c>
    </row>
    <row r="51" spans="1:1">
      <c r="A51" s="92" t="s">
        <v>170</v>
      </c>
    </row>
    <row r="52" spans="1:1">
      <c r="A52" s="92" t="s">
        <v>171</v>
      </c>
    </row>
    <row r="53" spans="1:1">
      <c r="A53" s="92" t="s">
        <v>172</v>
      </c>
    </row>
    <row r="54" spans="1:1">
      <c r="A54" s="92" t="s">
        <v>173</v>
      </c>
    </row>
    <row r="55" spans="1:1">
      <c r="A55" s="87"/>
    </row>
    <row r="56" spans="1:1">
      <c r="A56" s="87" t="s">
        <v>174</v>
      </c>
    </row>
    <row r="57" spans="1:1">
      <c r="A57" s="87"/>
    </row>
    <row r="58" spans="1:1">
      <c r="A58" s="87" t="s">
        <v>175</v>
      </c>
    </row>
    <row r="59" spans="1:1">
      <c r="A59" s="87"/>
    </row>
    <row r="60" spans="1:1">
      <c r="A60" s="93" t="s">
        <v>176</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9"/>
  <sheetViews>
    <sheetView workbookViewId="0">
      <selection activeCell="C35" sqref="C35"/>
    </sheetView>
  </sheetViews>
  <sheetFormatPr defaultColWidth="8.81640625" defaultRowHeight="14.5"/>
  <cols>
    <col min="1" max="1" width="63.26953125" customWidth="1"/>
    <col min="2" max="2" width="18.1796875" customWidth="1"/>
    <col min="3" max="3" width="50" customWidth="1"/>
    <col min="4" max="4" width="16.54296875" customWidth="1"/>
    <col min="5" max="5" width="63.81640625" bestFit="1" customWidth="1"/>
    <col min="6" max="6" width="15" bestFit="1" customWidth="1"/>
    <col min="7" max="7" width="13.1796875" customWidth="1"/>
    <col min="9" max="10" width="9.81640625" bestFit="1" customWidth="1"/>
    <col min="16" max="16" width="15" bestFit="1" customWidth="1"/>
  </cols>
  <sheetData>
    <row r="1" spans="1:24">
      <c r="A1" s="34"/>
      <c r="D1" s="59" t="s">
        <v>0</v>
      </c>
      <c r="E1" s="33"/>
      <c r="F1" s="33"/>
      <c r="G1" s="33"/>
      <c r="H1" s="33"/>
      <c r="I1" s="33"/>
      <c r="J1" s="33"/>
      <c r="K1" s="33"/>
      <c r="L1" s="33"/>
      <c r="M1" s="59" t="s">
        <v>41</v>
      </c>
      <c r="N1" s="33"/>
      <c r="O1" s="33"/>
      <c r="P1" s="33"/>
      <c r="Q1" s="33"/>
      <c r="R1" s="33"/>
      <c r="S1" s="33"/>
    </row>
    <row r="2" spans="1:24" ht="18.5">
      <c r="A2" s="1" t="s">
        <v>90</v>
      </c>
      <c r="D2" s="36" t="s">
        <v>131</v>
      </c>
      <c r="E2" s="65"/>
      <c r="F2" s="65"/>
      <c r="G2" s="65"/>
      <c r="H2" s="65"/>
      <c r="I2" s="33"/>
      <c r="J2" s="33"/>
      <c r="K2" s="33"/>
      <c r="L2" s="33"/>
      <c r="M2" s="36" t="s">
        <v>42</v>
      </c>
      <c r="N2" s="38"/>
      <c r="O2" s="38"/>
      <c r="P2" s="38"/>
      <c r="Q2" s="38"/>
      <c r="R2" s="38"/>
      <c r="S2" s="38"/>
      <c r="T2" s="39"/>
      <c r="U2" s="39"/>
      <c r="V2" s="39"/>
      <c r="W2" s="39"/>
      <c r="X2" s="39"/>
    </row>
    <row r="3" spans="1:24">
      <c r="D3" s="65"/>
      <c r="E3" s="65"/>
      <c r="F3" s="65"/>
      <c r="G3" s="65"/>
      <c r="H3" s="65"/>
      <c r="I3" s="33"/>
      <c r="J3" s="33"/>
      <c r="K3" s="33"/>
      <c r="L3" s="33"/>
      <c r="M3" s="36" t="s">
        <v>135</v>
      </c>
      <c r="N3" s="36"/>
      <c r="O3" s="36"/>
      <c r="P3" s="36"/>
      <c r="Q3" s="65"/>
      <c r="R3" s="65"/>
      <c r="S3" s="65"/>
      <c r="T3" s="39"/>
      <c r="U3" s="39"/>
      <c r="V3" s="39"/>
      <c r="W3" s="39"/>
      <c r="X3" s="39"/>
    </row>
    <row r="4" spans="1:24">
      <c r="A4" t="s">
        <v>17</v>
      </c>
      <c r="B4" s="50"/>
      <c r="D4" s="59" t="s">
        <v>29</v>
      </c>
      <c r="E4" s="59">
        <v>8.6829999999999998</v>
      </c>
      <c r="F4" s="59"/>
      <c r="G4" s="66">
        <v>44267</v>
      </c>
      <c r="H4" s="59" t="s">
        <v>26</v>
      </c>
      <c r="I4" s="33"/>
      <c r="J4" s="33"/>
      <c r="K4" s="33"/>
      <c r="L4" s="33"/>
      <c r="M4" s="59" t="s">
        <v>29</v>
      </c>
      <c r="N4" s="59">
        <v>43.12</v>
      </c>
      <c r="O4" s="59">
        <v>20.7</v>
      </c>
      <c r="P4" s="66">
        <v>44267</v>
      </c>
      <c r="Q4" s="59" t="s">
        <v>26</v>
      </c>
      <c r="R4" s="33"/>
      <c r="S4" s="33"/>
      <c r="U4" s="33"/>
    </row>
    <row r="5" spans="1:24">
      <c r="A5" t="s">
        <v>2</v>
      </c>
      <c r="C5">
        <v>250</v>
      </c>
      <c r="D5" s="59" t="s">
        <v>28</v>
      </c>
      <c r="E5" s="59">
        <v>8.6780000000000008</v>
      </c>
      <c r="F5" s="59" t="s">
        <v>132</v>
      </c>
      <c r="G5" s="59" t="s">
        <v>134</v>
      </c>
      <c r="H5" s="59"/>
      <c r="I5" s="33"/>
      <c r="J5" s="33"/>
      <c r="K5" s="33"/>
      <c r="L5" s="33"/>
      <c r="M5" s="59" t="s">
        <v>28</v>
      </c>
      <c r="N5" s="59">
        <v>43.42</v>
      </c>
      <c r="O5" s="59">
        <v>20.6</v>
      </c>
      <c r="P5" s="59" t="s">
        <v>134</v>
      </c>
      <c r="Q5" s="59"/>
      <c r="R5" s="33"/>
      <c r="S5" s="33"/>
      <c r="U5" s="33"/>
    </row>
    <row r="6" spans="1:24" ht="15.5">
      <c r="A6" s="2" t="s">
        <v>104</v>
      </c>
      <c r="D6" s="59" t="s">
        <v>27</v>
      </c>
      <c r="E6" s="59">
        <v>8.6859999999999999</v>
      </c>
      <c r="F6" s="59" t="s">
        <v>133</v>
      </c>
      <c r="G6" s="33"/>
      <c r="H6" s="33"/>
      <c r="I6" s="33"/>
      <c r="J6" s="33"/>
      <c r="K6" s="33"/>
      <c r="L6" s="33"/>
      <c r="M6" s="59" t="s">
        <v>27</v>
      </c>
      <c r="N6" s="59">
        <v>43.43</v>
      </c>
      <c r="O6" s="59">
        <v>20.7</v>
      </c>
      <c r="P6" s="59"/>
      <c r="Q6" s="33"/>
      <c r="R6" s="33"/>
      <c r="S6" s="33"/>
      <c r="T6" s="33"/>
      <c r="U6" s="33"/>
    </row>
    <row r="7" spans="1:24">
      <c r="B7" s="456" t="s">
        <v>31</v>
      </c>
      <c r="C7" s="48" t="s">
        <v>101</v>
      </c>
      <c r="E7" s="458" t="s">
        <v>38</v>
      </c>
    </row>
    <row r="8" spans="1:24">
      <c r="A8" s="48" t="s">
        <v>32</v>
      </c>
      <c r="B8" s="457"/>
      <c r="C8" s="49" t="s">
        <v>33</v>
      </c>
      <c r="D8" s="3" t="s">
        <v>34</v>
      </c>
      <c r="E8" s="459"/>
      <c r="F8" s="54" t="s">
        <v>37</v>
      </c>
      <c r="G8" s="4"/>
    </row>
    <row r="9" spans="1:24" s="8" customFormat="1" ht="15.5">
      <c r="A9" s="5" t="s">
        <v>36</v>
      </c>
      <c r="B9" s="47">
        <v>40</v>
      </c>
      <c r="C9" s="42">
        <f>((B9*1.04)-AVERAGE(H31:H33))*22</f>
        <v>171.59999999999994</v>
      </c>
      <c r="D9" s="6">
        <f>C9/24</f>
        <v>7.1499999999999977</v>
      </c>
      <c r="E9" s="7">
        <f>((C9/22)+AVERAGE(H31:H33))/4-(((C9/22)+AVERAGE(H31:H33))/4)*10/250</f>
        <v>9.984</v>
      </c>
      <c r="F9" s="7">
        <f>E9*4</f>
        <v>39.936</v>
      </c>
      <c r="G9" s="2"/>
    </row>
    <row r="10" spans="1:24" s="8" customFormat="1" ht="15.5">
      <c r="A10" s="9" t="s">
        <v>4</v>
      </c>
      <c r="B10" s="9">
        <v>2</v>
      </c>
      <c r="C10" s="43">
        <f>(B10/100*4+B10)*22</f>
        <v>45.760000000000005</v>
      </c>
      <c r="D10" s="10">
        <f>C10/24</f>
        <v>1.906666666666667</v>
      </c>
      <c r="E10" s="53">
        <f>(((C10)/22)*0.25)-(((C10)/22)*0.25)*(10/250)</f>
        <v>0.49920000000000003</v>
      </c>
      <c r="F10" s="53">
        <f>E10*4</f>
        <v>1.9968000000000001</v>
      </c>
      <c r="G10" s="2" t="s">
        <v>5</v>
      </c>
    </row>
    <row r="11" spans="1:24" s="8" customFormat="1" ht="15.5">
      <c r="A11" s="9" t="s">
        <v>6</v>
      </c>
      <c r="B11" s="9">
        <v>0.22</v>
      </c>
      <c r="C11" s="43">
        <f>(B11/100*4+B11)*22</f>
        <v>5.0335999999999999</v>
      </c>
      <c r="D11" s="10">
        <f>C11/24</f>
        <v>0.20973333333333333</v>
      </c>
      <c r="E11" s="53">
        <f>(((C11)/22)*0.25)-(((C11)/22)*0.25)*(10/250)</f>
        <v>5.4912000000000002E-2</v>
      </c>
      <c r="F11" s="53">
        <f>E11*4</f>
        <v>0.21964800000000001</v>
      </c>
      <c r="G11" s="2"/>
    </row>
    <row r="12" spans="1:24" s="8" customFormat="1" ht="15.5">
      <c r="A12" s="9" t="s">
        <v>7</v>
      </c>
      <c r="B12" s="9">
        <v>3</v>
      </c>
      <c r="C12" s="44">
        <v>0</v>
      </c>
      <c r="D12" s="10">
        <f>C12/24</f>
        <v>0</v>
      </c>
      <c r="E12" s="53">
        <f>0.73</f>
        <v>0.73</v>
      </c>
      <c r="F12" s="53">
        <f>E12*4</f>
        <v>2.92</v>
      </c>
      <c r="G12" s="2"/>
    </row>
    <row r="13" spans="1:24" s="8" customFormat="1" ht="15.5">
      <c r="A13" s="9" t="s">
        <v>8</v>
      </c>
      <c r="B13" s="11" t="s">
        <v>9</v>
      </c>
      <c r="C13" s="43">
        <v>0</v>
      </c>
      <c r="D13" s="10"/>
      <c r="E13" s="53">
        <v>0</v>
      </c>
      <c r="F13" s="53"/>
      <c r="G13" s="2"/>
    </row>
    <row r="14" spans="1:24" s="8" customFormat="1" ht="15.5">
      <c r="A14" s="12"/>
      <c r="B14" s="12"/>
      <c r="C14" s="40"/>
      <c r="D14" s="13"/>
      <c r="E14" s="14"/>
      <c r="F14" s="15"/>
      <c r="G14" s="2"/>
    </row>
    <row r="15" spans="1:24" s="8" customFormat="1" ht="15.5">
      <c r="A15" s="2" t="s">
        <v>10</v>
      </c>
      <c r="B15" s="2"/>
      <c r="C15" s="16">
        <f>3/4</f>
        <v>0.75</v>
      </c>
      <c r="D15" s="16"/>
      <c r="E15" s="2" t="s">
        <v>11</v>
      </c>
    </row>
    <row r="16" spans="1:24" s="8" customFormat="1" ht="15.5">
      <c r="A16" s="17" t="s">
        <v>12</v>
      </c>
      <c r="B16" s="17">
        <f>10*21*3</f>
        <v>630</v>
      </c>
      <c r="C16" s="17">
        <f>B16*(7.3/100)</f>
        <v>45.989999999999995</v>
      </c>
      <c r="D16" s="17" t="s">
        <v>13</v>
      </c>
      <c r="E16" s="18"/>
    </row>
    <row r="17" spans="1:13" s="8" customFormat="1" ht="15.5">
      <c r="A17" s="17" t="s">
        <v>14</v>
      </c>
      <c r="B17" s="17">
        <f>0.25*3*21</f>
        <v>15.75</v>
      </c>
      <c r="C17" s="17" t="s">
        <v>35</v>
      </c>
      <c r="D17" s="17"/>
      <c r="E17" s="2"/>
    </row>
    <row r="18" spans="1:13" s="8" customFormat="1" ht="18.5">
      <c r="H18" s="31"/>
    </row>
    <row r="19" spans="1:13" s="8" customFormat="1" ht="15.5">
      <c r="H19"/>
    </row>
    <row r="20" spans="1:13" s="8" customFormat="1" ht="15.5">
      <c r="A20" s="41" t="s">
        <v>99</v>
      </c>
      <c r="B20" s="19"/>
      <c r="C20" s="20"/>
      <c r="H20"/>
    </row>
    <row r="21" spans="1:13" s="8" customFormat="1" ht="15.5">
      <c r="A21" s="9" t="s">
        <v>103</v>
      </c>
      <c r="B21" s="21"/>
      <c r="C21" s="22"/>
      <c r="H21"/>
    </row>
    <row r="22" spans="1:13" s="8" customFormat="1" ht="15.5">
      <c r="A22" s="51" t="s">
        <v>100</v>
      </c>
      <c r="B22" s="52" t="s">
        <v>102</v>
      </c>
      <c r="C22" s="23" t="s">
        <v>15</v>
      </c>
    </row>
    <row r="23" spans="1:13" s="8" customFormat="1" ht="15.5">
      <c r="A23" s="24" t="s">
        <v>3</v>
      </c>
      <c r="B23" s="55">
        <f>71.71+99.98</f>
        <v>171.69</v>
      </c>
      <c r="C23" s="58" t="s">
        <v>39</v>
      </c>
      <c r="D23" s="25"/>
      <c r="E23" s="26"/>
      <c r="F23" s="27"/>
      <c r="G23" s="27"/>
    </row>
    <row r="24" spans="1:13" s="8" customFormat="1" ht="15.5">
      <c r="A24" s="28" t="s">
        <v>4</v>
      </c>
      <c r="B24" s="56">
        <v>45.81</v>
      </c>
      <c r="C24" s="45" t="s">
        <v>40</v>
      </c>
      <c r="D24" s="29"/>
      <c r="E24" s="29"/>
      <c r="F24" s="29"/>
      <c r="G24" s="29"/>
    </row>
    <row r="25" spans="1:13" s="8" customFormat="1" ht="15.5">
      <c r="A25" s="30" t="s">
        <v>6</v>
      </c>
      <c r="B25" s="57">
        <v>5.03</v>
      </c>
      <c r="C25" s="46" t="s">
        <v>16</v>
      </c>
      <c r="D25" s="29"/>
      <c r="E25" s="29"/>
      <c r="F25" s="29"/>
      <c r="G25" s="29"/>
    </row>
    <row r="26" spans="1:13" s="8" customFormat="1" ht="15.5">
      <c r="A26" s="27"/>
      <c r="B26" s="27"/>
      <c r="C26" s="29"/>
      <c r="D26" s="29"/>
      <c r="E26" s="29"/>
      <c r="F26" s="29"/>
      <c r="G26" s="29"/>
    </row>
    <row r="27" spans="1:13" s="32" customFormat="1" ht="18.5">
      <c r="A27" s="67" t="s">
        <v>105</v>
      </c>
      <c r="F27" s="31"/>
      <c r="G27" s="31" t="s">
        <v>30</v>
      </c>
      <c r="H27" s="31"/>
    </row>
    <row r="28" spans="1:13" s="32" customFormat="1" ht="18.5">
      <c r="A28" s="67" t="s">
        <v>106</v>
      </c>
      <c r="F28" s="31"/>
      <c r="G28" s="36" t="s">
        <v>1</v>
      </c>
      <c r="H28" s="37"/>
      <c r="I28" s="38"/>
      <c r="J28" s="38"/>
      <c r="K28" s="38"/>
      <c r="L28" s="38"/>
      <c r="M28" s="38"/>
    </row>
    <row r="29" spans="1:13" ht="15.5">
      <c r="A29" s="35" t="s">
        <v>107</v>
      </c>
      <c r="B29" s="33"/>
      <c r="C29" s="33"/>
      <c r="D29" s="33"/>
      <c r="E29" s="33"/>
      <c r="G29" s="36" t="s">
        <v>135</v>
      </c>
      <c r="H29" s="39"/>
      <c r="I29" s="39"/>
      <c r="J29" s="39"/>
      <c r="K29" s="39"/>
      <c r="L29" s="39"/>
      <c r="M29" s="39"/>
    </row>
    <row r="30" spans="1:13">
      <c r="A30" s="33" t="s">
        <v>18</v>
      </c>
      <c r="B30" s="33" t="s">
        <v>19</v>
      </c>
      <c r="C30" s="33" t="s">
        <v>20</v>
      </c>
      <c r="D30" s="33" t="s">
        <v>21</v>
      </c>
      <c r="E30" s="33" t="s">
        <v>22</v>
      </c>
      <c r="F30" s="33" t="s">
        <v>23</v>
      </c>
      <c r="G30" s="36" t="s">
        <v>25</v>
      </c>
      <c r="H30" s="65"/>
      <c r="I30" s="65"/>
      <c r="J30" s="65"/>
      <c r="K30" s="65"/>
      <c r="L30" s="65"/>
      <c r="M30" s="65"/>
    </row>
    <row r="31" spans="1:13">
      <c r="A31" s="33" t="s">
        <v>24</v>
      </c>
      <c r="B31" s="33">
        <v>8.86</v>
      </c>
      <c r="C31" s="33">
        <v>0.79</v>
      </c>
      <c r="D31" s="33">
        <v>2.1</v>
      </c>
      <c r="E31" s="33">
        <v>0.15</v>
      </c>
      <c r="F31" s="33">
        <v>0.14199999999999999</v>
      </c>
      <c r="G31" s="59" t="s">
        <v>29</v>
      </c>
      <c r="H31" s="59">
        <v>34.04</v>
      </c>
      <c r="I31" s="59" t="s">
        <v>91</v>
      </c>
      <c r="J31" s="66">
        <v>44259</v>
      </c>
      <c r="K31" s="59" t="s">
        <v>26</v>
      </c>
      <c r="L31" s="33"/>
      <c r="M31" s="33"/>
    </row>
    <row r="32" spans="1:13">
      <c r="A32" s="33"/>
      <c r="B32" s="33"/>
      <c r="C32" s="33"/>
      <c r="D32" s="33"/>
      <c r="E32" s="33"/>
      <c r="F32" s="33"/>
      <c r="G32" s="59" t="s">
        <v>28</v>
      </c>
      <c r="H32" s="59">
        <v>33.799999999999997</v>
      </c>
      <c r="I32" s="59" t="s">
        <v>92</v>
      </c>
      <c r="J32" s="59"/>
      <c r="K32" s="59"/>
      <c r="L32" s="33"/>
      <c r="M32" s="33"/>
    </row>
    <row r="33" spans="6:14">
      <c r="F33" s="33"/>
      <c r="G33" s="59" t="s">
        <v>27</v>
      </c>
      <c r="H33" s="59">
        <v>33.56</v>
      </c>
      <c r="I33" s="59" t="s">
        <v>93</v>
      </c>
      <c r="J33" s="59"/>
      <c r="K33" s="59"/>
      <c r="L33" s="33"/>
      <c r="M33" s="33"/>
    </row>
    <row r="34" spans="6:14">
      <c r="F34" s="33"/>
      <c r="G34" s="33"/>
      <c r="H34" s="33"/>
      <c r="I34" s="33"/>
      <c r="J34" s="33"/>
      <c r="K34" s="33"/>
      <c r="L34" s="33"/>
      <c r="M34" s="33"/>
    </row>
    <row r="35" spans="6:14">
      <c r="F35" s="33"/>
      <c r="G35" s="36" t="s">
        <v>94</v>
      </c>
      <c r="H35" s="36"/>
      <c r="I35" s="36"/>
      <c r="J35" s="36"/>
      <c r="K35" s="36"/>
      <c r="L35" s="65"/>
      <c r="M35" s="65"/>
      <c r="N35" s="39"/>
    </row>
    <row r="36" spans="6:14">
      <c r="F36" s="33"/>
      <c r="G36" s="36" t="s">
        <v>95</v>
      </c>
      <c r="H36" s="36"/>
      <c r="I36" s="36"/>
      <c r="J36" s="36"/>
      <c r="K36" s="36"/>
      <c r="L36" s="65"/>
      <c r="M36" s="65"/>
      <c r="N36" s="39"/>
    </row>
    <row r="37" spans="6:14">
      <c r="F37" s="33"/>
      <c r="G37" s="59" t="s">
        <v>29</v>
      </c>
      <c r="H37" s="59">
        <v>8.0839999999999996</v>
      </c>
      <c r="I37" s="59" t="s">
        <v>96</v>
      </c>
      <c r="J37" s="66">
        <v>44259</v>
      </c>
      <c r="K37" s="59" t="s">
        <v>26</v>
      </c>
      <c r="L37" s="33"/>
      <c r="M37" s="33"/>
    </row>
    <row r="38" spans="6:14">
      <c r="F38" s="33"/>
      <c r="G38" s="59" t="s">
        <v>28</v>
      </c>
      <c r="H38" s="59">
        <v>8.09</v>
      </c>
      <c r="I38" s="59" t="s">
        <v>97</v>
      </c>
      <c r="J38" s="59"/>
      <c r="K38" s="59"/>
      <c r="L38" s="33"/>
      <c r="M38" s="33"/>
    </row>
    <row r="39" spans="6:14">
      <c r="F39" s="33"/>
      <c r="G39" s="59" t="s">
        <v>27</v>
      </c>
      <c r="H39" s="59">
        <v>8.0839999999999996</v>
      </c>
      <c r="I39" s="59" t="s">
        <v>98</v>
      </c>
      <c r="J39" s="59"/>
      <c r="K39" s="59"/>
      <c r="L39" s="33"/>
      <c r="M39" s="33"/>
    </row>
  </sheetData>
  <mergeCells count="2">
    <mergeCell ref="B7:B8"/>
    <mergeCell ref="E7:E8"/>
  </mergeCells>
  <pageMargins left="0.70866141732282995" right="0.70866141732282995" top="0.74803149606299002" bottom="0.74803149606299002" header="0.31496062992126" footer="0.31496062992126"/>
  <pageSetup paperSize="9" scale="32"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D2EE-CC42-43C3-B36F-8B1D388C0065}">
  <sheetPr>
    <pageSetUpPr fitToPage="1"/>
  </sheetPr>
  <dimension ref="A1:AA728"/>
  <sheetViews>
    <sheetView workbookViewId="0">
      <selection sqref="A1:M6"/>
    </sheetView>
  </sheetViews>
  <sheetFormatPr defaultRowHeight="14.5"/>
  <cols>
    <col min="1" max="1" width="28.453125" customWidth="1"/>
    <col min="2" max="2" width="23.1796875" customWidth="1"/>
    <col min="4" max="4" width="28.453125" customWidth="1"/>
    <col min="5" max="5" width="10.7265625" bestFit="1" customWidth="1"/>
    <col min="8" max="8" width="33.54296875" customWidth="1"/>
    <col min="15" max="15" width="10.7265625" bestFit="1" customWidth="1"/>
    <col min="18" max="18" width="30.26953125" customWidth="1"/>
    <col min="25" max="25" width="10.7265625" bestFit="1" customWidth="1"/>
  </cols>
  <sheetData>
    <row r="1" spans="1:13">
      <c r="A1" t="s">
        <v>108</v>
      </c>
      <c r="B1" t="s">
        <v>109</v>
      </c>
    </row>
    <row r="2" spans="1:13" ht="15.5">
      <c r="A2" s="2">
        <v>1000</v>
      </c>
      <c r="B2" s="2" t="s">
        <v>129</v>
      </c>
      <c r="C2" s="8"/>
      <c r="D2" s="8"/>
      <c r="E2" s="8"/>
      <c r="F2" s="8"/>
      <c r="G2" s="8"/>
      <c r="H2" s="59" t="s">
        <v>136</v>
      </c>
      <c r="I2" s="8"/>
      <c r="J2" s="2" t="s">
        <v>179</v>
      </c>
      <c r="K2" s="8"/>
      <c r="L2" s="8"/>
      <c r="M2" s="8"/>
    </row>
    <row r="3" spans="1:13" ht="15.5">
      <c r="A3" s="2">
        <v>2000</v>
      </c>
      <c r="B3" s="2" t="s">
        <v>2002</v>
      </c>
      <c r="C3" s="8"/>
      <c r="D3" s="8"/>
      <c r="E3" s="8"/>
      <c r="F3" s="8"/>
      <c r="G3" s="8"/>
      <c r="H3" s="59" t="s">
        <v>136</v>
      </c>
      <c r="I3" s="8"/>
      <c r="J3" s="2" t="s">
        <v>180</v>
      </c>
      <c r="K3" s="8"/>
      <c r="L3" s="8"/>
      <c r="M3" s="68"/>
    </row>
    <row r="4" spans="1:13" ht="15.5">
      <c r="A4" s="2">
        <v>3800</v>
      </c>
      <c r="B4" s="2" t="s">
        <v>130</v>
      </c>
      <c r="C4" s="8"/>
      <c r="D4" s="8"/>
      <c r="E4" s="8"/>
      <c r="F4" s="8"/>
      <c r="G4" s="8"/>
      <c r="H4" s="2" t="s">
        <v>110</v>
      </c>
      <c r="I4" s="8"/>
      <c r="J4" s="2" t="s">
        <v>181</v>
      </c>
      <c r="K4" s="8"/>
      <c r="L4" s="8"/>
      <c r="M4" s="8"/>
    </row>
    <row r="5" spans="1:13">
      <c r="J5" s="95" t="s">
        <v>182</v>
      </c>
    </row>
    <row r="8" spans="1:13" ht="15.5">
      <c r="A8" s="2" t="s">
        <v>111</v>
      </c>
      <c r="B8" s="2" t="s">
        <v>178</v>
      </c>
      <c r="C8" s="8"/>
      <c r="D8" s="8"/>
      <c r="E8" s="8"/>
      <c r="F8" s="8"/>
      <c r="G8" s="8"/>
      <c r="H8" s="8"/>
      <c r="I8" s="8"/>
      <c r="J8" s="8"/>
      <c r="K8" s="8"/>
      <c r="L8" s="8"/>
      <c r="M8" s="8"/>
    </row>
    <row r="9" spans="1:13" ht="15.5">
      <c r="A9" s="8"/>
      <c r="B9" s="94"/>
      <c r="C9" s="8"/>
      <c r="D9" s="8"/>
      <c r="E9" s="8"/>
      <c r="F9" s="8"/>
      <c r="G9" s="8"/>
      <c r="H9" s="8"/>
      <c r="I9" s="8"/>
      <c r="J9" s="8"/>
      <c r="K9" s="8"/>
      <c r="L9" s="8"/>
      <c r="M9" s="8"/>
    </row>
    <row r="10" spans="1:13" ht="15.5">
      <c r="A10" s="8"/>
      <c r="B10" s="94"/>
      <c r="C10" s="8"/>
      <c r="D10" s="8"/>
      <c r="E10" s="8"/>
      <c r="F10" s="8"/>
      <c r="G10" s="8"/>
      <c r="H10" s="8"/>
      <c r="I10" s="8"/>
      <c r="J10" s="8"/>
      <c r="K10" s="8"/>
      <c r="L10" s="8"/>
      <c r="M10" s="8"/>
    </row>
    <row r="11" spans="1:13" ht="15.5">
      <c r="A11" s="8"/>
      <c r="B11" s="94"/>
      <c r="C11" s="8"/>
      <c r="D11" s="8"/>
      <c r="E11" s="8"/>
      <c r="F11" s="8"/>
      <c r="G11" s="8"/>
      <c r="H11" s="8"/>
      <c r="I11" s="8"/>
      <c r="J11" s="8"/>
      <c r="K11" s="8"/>
      <c r="L11" s="8"/>
      <c r="M11" s="8"/>
    </row>
    <row r="12" spans="1:13" ht="15.5">
      <c r="A12" s="69" t="s">
        <v>112</v>
      </c>
      <c r="B12" s="69" t="s">
        <v>113</v>
      </c>
      <c r="C12" s="69" t="s">
        <v>114</v>
      </c>
      <c r="D12" s="69"/>
      <c r="E12" s="8"/>
      <c r="F12" s="8"/>
      <c r="G12" s="8"/>
      <c r="H12" s="8"/>
      <c r="I12" s="8"/>
      <c r="J12" s="8"/>
      <c r="K12" s="8"/>
      <c r="L12" s="8"/>
      <c r="M12" s="8"/>
    </row>
    <row r="13" spans="1:13" ht="15.5">
      <c r="A13" s="69" t="s">
        <v>126</v>
      </c>
      <c r="B13" s="69" t="s">
        <v>127</v>
      </c>
      <c r="C13" s="70"/>
      <c r="D13" s="69"/>
      <c r="E13" s="8"/>
      <c r="F13" s="8"/>
      <c r="G13" s="8"/>
      <c r="H13" s="8"/>
      <c r="I13" s="8"/>
      <c r="J13" s="8"/>
      <c r="K13" s="8"/>
      <c r="L13" s="8"/>
      <c r="M13" s="8"/>
    </row>
    <row r="14" spans="1:13" ht="15.5">
      <c r="A14" s="69"/>
      <c r="B14" s="71"/>
      <c r="C14" s="71"/>
      <c r="D14" s="71"/>
      <c r="E14" s="8"/>
      <c r="F14" s="8"/>
      <c r="G14" s="8"/>
      <c r="H14" s="8"/>
      <c r="I14" s="8"/>
      <c r="J14" s="8"/>
      <c r="K14" s="8"/>
      <c r="L14" s="8"/>
      <c r="M14" s="8"/>
    </row>
    <row r="15" spans="1:13" ht="15.5">
      <c r="A15" s="72" t="s">
        <v>115</v>
      </c>
      <c r="B15" s="73" t="s">
        <v>116</v>
      </c>
      <c r="C15" s="74"/>
      <c r="D15" s="74"/>
      <c r="E15" s="8"/>
      <c r="F15" s="1" t="s">
        <v>112</v>
      </c>
      <c r="G15" s="1" t="s">
        <v>117</v>
      </c>
      <c r="H15" s="70"/>
      <c r="I15" s="70"/>
      <c r="J15" s="2"/>
      <c r="K15" s="8"/>
      <c r="L15" s="75"/>
      <c r="M15" s="76"/>
    </row>
    <row r="16" spans="1:13" ht="15.5">
      <c r="A16" s="77" t="s">
        <v>118</v>
      </c>
      <c r="B16" s="78">
        <v>44310</v>
      </c>
      <c r="C16" s="72">
        <v>5</v>
      </c>
      <c r="D16" s="72" t="s">
        <v>128</v>
      </c>
      <c r="E16" s="8"/>
      <c r="F16" s="1">
        <v>1</v>
      </c>
      <c r="G16" s="79">
        <f>B17</f>
        <v>44315</v>
      </c>
      <c r="H16" s="70">
        <f>C17</f>
        <v>17</v>
      </c>
      <c r="I16" s="70" t="s">
        <v>119</v>
      </c>
      <c r="J16" s="2"/>
      <c r="K16" s="8"/>
      <c r="L16" s="69"/>
      <c r="M16" s="80"/>
    </row>
    <row r="17" spans="1:13" ht="15.5">
      <c r="A17" s="77">
        <v>1</v>
      </c>
      <c r="B17" s="81">
        <f>B16+C16</f>
        <v>44315</v>
      </c>
      <c r="C17" s="77">
        <v>17</v>
      </c>
      <c r="D17" s="77" t="s">
        <v>119</v>
      </c>
      <c r="E17" s="8"/>
      <c r="F17" s="1">
        <v>2</v>
      </c>
      <c r="G17" s="79">
        <f t="shared" ref="G17:H36" si="0">B18</f>
        <v>44332</v>
      </c>
      <c r="H17" s="70">
        <f t="shared" si="0"/>
        <v>17</v>
      </c>
      <c r="I17" s="79"/>
      <c r="J17" s="2"/>
      <c r="K17" s="8"/>
      <c r="L17" s="69"/>
      <c r="M17" s="82"/>
    </row>
    <row r="18" spans="1:13" ht="15.5">
      <c r="A18" s="77">
        <v>2</v>
      </c>
      <c r="B18" s="81">
        <f>B17+C17</f>
        <v>44332</v>
      </c>
      <c r="C18" s="77">
        <f>C17</f>
        <v>17</v>
      </c>
      <c r="D18" s="77"/>
      <c r="E18" s="8"/>
      <c r="F18" s="1">
        <v>3</v>
      </c>
      <c r="G18" s="79">
        <f t="shared" si="0"/>
        <v>44349</v>
      </c>
      <c r="H18" s="70">
        <f t="shared" si="0"/>
        <v>17</v>
      </c>
      <c r="I18" s="79"/>
      <c r="J18" s="2"/>
      <c r="K18" s="8"/>
      <c r="L18" s="69"/>
      <c r="M18" s="82"/>
    </row>
    <row r="19" spans="1:13" ht="15.5">
      <c r="A19" s="77">
        <v>3</v>
      </c>
      <c r="B19" s="81">
        <f t="shared" ref="B19:B36" si="1">B18+C18</f>
        <v>44349</v>
      </c>
      <c r="C19" s="77">
        <f t="shared" ref="C19:C37" si="2">C18</f>
        <v>17</v>
      </c>
      <c r="D19" s="77"/>
      <c r="E19" s="8"/>
      <c r="F19" s="1">
        <v>4</v>
      </c>
      <c r="G19" s="79">
        <f t="shared" si="0"/>
        <v>44366</v>
      </c>
      <c r="H19" s="70">
        <f t="shared" si="0"/>
        <v>17</v>
      </c>
      <c r="I19" s="79"/>
      <c r="J19" s="2"/>
      <c r="K19" s="8"/>
      <c r="L19" s="69"/>
      <c r="M19" s="82"/>
    </row>
    <row r="20" spans="1:13" ht="15.5">
      <c r="A20" s="77">
        <v>4</v>
      </c>
      <c r="B20" s="81">
        <f t="shared" si="1"/>
        <v>44366</v>
      </c>
      <c r="C20" s="77">
        <f t="shared" si="2"/>
        <v>17</v>
      </c>
      <c r="D20" s="77"/>
      <c r="E20" s="8"/>
      <c r="F20" s="1">
        <v>5</v>
      </c>
      <c r="G20" s="79">
        <f t="shared" si="0"/>
        <v>44383</v>
      </c>
      <c r="H20" s="70">
        <f t="shared" si="0"/>
        <v>17</v>
      </c>
      <c r="I20" s="79"/>
      <c r="J20" s="2"/>
      <c r="K20" s="8"/>
      <c r="L20" s="69"/>
      <c r="M20" s="82"/>
    </row>
    <row r="21" spans="1:13" ht="15.5">
      <c r="A21" s="77">
        <v>5</v>
      </c>
      <c r="B21" s="81">
        <f t="shared" si="1"/>
        <v>44383</v>
      </c>
      <c r="C21" s="77">
        <f t="shared" si="2"/>
        <v>17</v>
      </c>
      <c r="D21" s="77"/>
      <c r="E21" s="8"/>
      <c r="F21" s="1">
        <v>6</v>
      </c>
      <c r="G21" s="79">
        <f t="shared" si="0"/>
        <v>44400</v>
      </c>
      <c r="H21" s="70">
        <f t="shared" si="0"/>
        <v>17</v>
      </c>
      <c r="I21" s="79"/>
      <c r="J21" s="2"/>
      <c r="K21" s="8"/>
      <c r="L21" s="69"/>
      <c r="M21" s="82"/>
    </row>
    <row r="22" spans="1:13" ht="15.5">
      <c r="A22" s="77">
        <v>6</v>
      </c>
      <c r="B22" s="81">
        <f t="shared" si="1"/>
        <v>44400</v>
      </c>
      <c r="C22" s="77">
        <f t="shared" si="2"/>
        <v>17</v>
      </c>
      <c r="D22" s="77"/>
      <c r="E22" s="8"/>
      <c r="F22" s="1">
        <v>7</v>
      </c>
      <c r="G22" s="79">
        <f t="shared" si="0"/>
        <v>44417</v>
      </c>
      <c r="H22" s="70">
        <f t="shared" si="0"/>
        <v>17</v>
      </c>
      <c r="I22" s="79"/>
      <c r="J22" s="2"/>
      <c r="K22" s="8"/>
      <c r="L22" s="69"/>
      <c r="M22" s="82"/>
    </row>
    <row r="23" spans="1:13" ht="15.5">
      <c r="A23" s="77">
        <v>7</v>
      </c>
      <c r="B23" s="81">
        <f t="shared" si="1"/>
        <v>44417</v>
      </c>
      <c r="C23" s="77">
        <f t="shared" si="2"/>
        <v>17</v>
      </c>
      <c r="D23" s="77"/>
      <c r="E23" s="8"/>
      <c r="F23" s="1">
        <v>8</v>
      </c>
      <c r="G23" s="79">
        <f t="shared" si="0"/>
        <v>44434</v>
      </c>
      <c r="H23" s="70">
        <f t="shared" si="0"/>
        <v>17</v>
      </c>
      <c r="I23" s="79"/>
      <c r="J23" s="2"/>
      <c r="K23" s="8"/>
      <c r="L23" s="69"/>
      <c r="M23" s="82"/>
    </row>
    <row r="24" spans="1:13" ht="15.5">
      <c r="A24" s="77">
        <v>8</v>
      </c>
      <c r="B24" s="81">
        <f>B23+C23</f>
        <v>44434</v>
      </c>
      <c r="C24" s="77">
        <f t="shared" si="2"/>
        <v>17</v>
      </c>
      <c r="D24" s="77"/>
      <c r="E24" s="8"/>
      <c r="F24" s="1">
        <v>9</v>
      </c>
      <c r="G24" s="79">
        <f t="shared" si="0"/>
        <v>44451</v>
      </c>
      <c r="H24" s="70">
        <f t="shared" si="0"/>
        <v>17</v>
      </c>
      <c r="I24" s="79"/>
      <c r="J24" s="2"/>
      <c r="K24" s="8"/>
      <c r="L24" s="69"/>
      <c r="M24" s="82"/>
    </row>
    <row r="25" spans="1:13" ht="15.5">
      <c r="A25" s="77">
        <v>9</v>
      </c>
      <c r="B25" s="81">
        <f t="shared" si="1"/>
        <v>44451</v>
      </c>
      <c r="C25" s="77">
        <f t="shared" si="2"/>
        <v>17</v>
      </c>
      <c r="D25" s="77"/>
      <c r="E25" s="8"/>
      <c r="F25" s="1">
        <v>10</v>
      </c>
      <c r="G25" s="79">
        <f t="shared" si="0"/>
        <v>44468</v>
      </c>
      <c r="H25" s="70">
        <f t="shared" si="0"/>
        <v>17</v>
      </c>
      <c r="I25" s="79"/>
      <c r="J25" s="2"/>
      <c r="K25" s="8"/>
      <c r="L25" s="69"/>
      <c r="M25" s="82"/>
    </row>
    <row r="26" spans="1:13" ht="15.5">
      <c r="A26" s="77">
        <v>10</v>
      </c>
      <c r="B26" s="81">
        <f t="shared" si="1"/>
        <v>44468</v>
      </c>
      <c r="C26" s="77">
        <f t="shared" si="2"/>
        <v>17</v>
      </c>
      <c r="D26" s="77"/>
      <c r="E26" s="8"/>
      <c r="F26" s="1">
        <v>11</v>
      </c>
      <c r="G26" s="79">
        <f t="shared" si="0"/>
        <v>44485</v>
      </c>
      <c r="H26" s="70">
        <f t="shared" si="0"/>
        <v>17</v>
      </c>
      <c r="I26" s="79"/>
      <c r="J26" s="2"/>
      <c r="K26" s="8"/>
      <c r="L26" s="69"/>
      <c r="M26" s="82"/>
    </row>
    <row r="27" spans="1:13" ht="15.5">
      <c r="A27" s="77">
        <v>11</v>
      </c>
      <c r="B27" s="81">
        <f t="shared" si="1"/>
        <v>44485</v>
      </c>
      <c r="C27" s="77">
        <f t="shared" si="2"/>
        <v>17</v>
      </c>
      <c r="D27" s="77"/>
      <c r="E27" s="8"/>
      <c r="F27" s="1">
        <v>12</v>
      </c>
      <c r="G27" s="79">
        <f t="shared" si="0"/>
        <v>44502</v>
      </c>
      <c r="H27" s="70">
        <f t="shared" si="0"/>
        <v>17</v>
      </c>
      <c r="I27" s="79"/>
      <c r="J27" s="2"/>
      <c r="K27" s="8"/>
      <c r="L27" s="69"/>
      <c r="M27" s="82"/>
    </row>
    <row r="28" spans="1:13" ht="15.5">
      <c r="A28" s="77">
        <v>12</v>
      </c>
      <c r="B28" s="81">
        <f t="shared" si="1"/>
        <v>44502</v>
      </c>
      <c r="C28" s="77">
        <f t="shared" si="2"/>
        <v>17</v>
      </c>
      <c r="D28" s="77"/>
      <c r="E28" s="8"/>
      <c r="F28" s="1">
        <v>13</v>
      </c>
      <c r="G28" s="79">
        <f t="shared" si="0"/>
        <v>44519</v>
      </c>
      <c r="H28" s="70">
        <f t="shared" si="0"/>
        <v>17</v>
      </c>
      <c r="I28" s="79"/>
      <c r="J28" s="2"/>
      <c r="K28" s="8"/>
      <c r="L28" s="69"/>
      <c r="M28" s="82"/>
    </row>
    <row r="29" spans="1:13" ht="15.5">
      <c r="A29" s="77">
        <v>13</v>
      </c>
      <c r="B29" s="81">
        <f t="shared" si="1"/>
        <v>44519</v>
      </c>
      <c r="C29" s="77">
        <f t="shared" si="2"/>
        <v>17</v>
      </c>
      <c r="D29" s="77"/>
      <c r="E29" s="8"/>
      <c r="F29" s="1">
        <v>14</v>
      </c>
      <c r="G29" s="79">
        <f t="shared" si="0"/>
        <v>44536</v>
      </c>
      <c r="H29" s="70">
        <f t="shared" si="0"/>
        <v>17</v>
      </c>
      <c r="I29" s="79"/>
      <c r="J29" s="2"/>
      <c r="K29" s="8"/>
      <c r="L29" s="69"/>
      <c r="M29" s="82"/>
    </row>
    <row r="30" spans="1:13" ht="15.5">
      <c r="A30" s="77">
        <v>14</v>
      </c>
      <c r="B30" s="81">
        <f t="shared" si="1"/>
        <v>44536</v>
      </c>
      <c r="C30" s="77">
        <f t="shared" si="2"/>
        <v>17</v>
      </c>
      <c r="D30" s="77"/>
      <c r="E30" s="8"/>
      <c r="F30" s="1">
        <v>15</v>
      </c>
      <c r="G30" s="79">
        <f t="shared" si="0"/>
        <v>44553</v>
      </c>
      <c r="H30" s="70">
        <f t="shared" si="0"/>
        <v>17</v>
      </c>
      <c r="I30" s="79"/>
      <c r="J30" s="2"/>
      <c r="K30" s="8"/>
      <c r="L30" s="69"/>
      <c r="M30" s="82"/>
    </row>
    <row r="31" spans="1:13" ht="15.5">
      <c r="A31" s="77">
        <v>15</v>
      </c>
      <c r="B31" s="81">
        <f t="shared" si="1"/>
        <v>44553</v>
      </c>
      <c r="C31" s="77">
        <f t="shared" si="2"/>
        <v>17</v>
      </c>
      <c r="D31" s="77"/>
      <c r="E31" s="8"/>
      <c r="F31" s="1">
        <v>16</v>
      </c>
      <c r="G31" s="79">
        <f t="shared" si="0"/>
        <v>44570</v>
      </c>
      <c r="H31" s="70">
        <f t="shared" si="0"/>
        <v>17</v>
      </c>
      <c r="I31" s="79"/>
      <c r="J31" s="2"/>
      <c r="K31" s="8"/>
      <c r="L31" s="69"/>
      <c r="M31" s="82"/>
    </row>
    <row r="32" spans="1:13" ht="15.5">
      <c r="A32" s="77">
        <v>16</v>
      </c>
      <c r="B32" s="81">
        <f t="shared" si="1"/>
        <v>44570</v>
      </c>
      <c r="C32" s="77">
        <f t="shared" si="2"/>
        <v>17</v>
      </c>
      <c r="D32" s="77"/>
      <c r="E32" s="8"/>
      <c r="F32" s="1">
        <v>17</v>
      </c>
      <c r="G32" s="79">
        <f t="shared" si="0"/>
        <v>44587</v>
      </c>
      <c r="H32" s="70">
        <f t="shared" si="0"/>
        <v>17</v>
      </c>
      <c r="I32" s="79"/>
      <c r="J32" s="2"/>
      <c r="K32" s="8"/>
      <c r="L32" s="69"/>
      <c r="M32" s="82"/>
    </row>
    <row r="33" spans="1:18" ht="15.5">
      <c r="A33" s="77">
        <v>17</v>
      </c>
      <c r="B33" s="81">
        <f t="shared" si="1"/>
        <v>44587</v>
      </c>
      <c r="C33" s="77">
        <f t="shared" si="2"/>
        <v>17</v>
      </c>
      <c r="D33" s="77"/>
      <c r="E33" s="8"/>
      <c r="F33" s="1">
        <v>18</v>
      </c>
      <c r="G33" s="79">
        <f t="shared" si="0"/>
        <v>44604</v>
      </c>
      <c r="H33" s="70">
        <f t="shared" si="0"/>
        <v>17</v>
      </c>
      <c r="I33" s="79"/>
      <c r="J33" s="2"/>
      <c r="K33" s="8"/>
      <c r="L33" s="69"/>
      <c r="M33" s="82"/>
    </row>
    <row r="34" spans="1:18" ht="15.5">
      <c r="A34" s="77">
        <v>18</v>
      </c>
      <c r="B34" s="81">
        <f t="shared" si="1"/>
        <v>44604</v>
      </c>
      <c r="C34" s="77">
        <f t="shared" si="2"/>
        <v>17</v>
      </c>
      <c r="D34" s="77"/>
      <c r="E34" s="8"/>
      <c r="F34" s="1">
        <v>19</v>
      </c>
      <c r="G34" s="79">
        <f t="shared" si="0"/>
        <v>44621</v>
      </c>
      <c r="H34" s="70">
        <f t="shared" si="0"/>
        <v>17</v>
      </c>
      <c r="I34" s="79"/>
      <c r="J34" s="2"/>
      <c r="K34" s="8"/>
      <c r="L34" s="69"/>
      <c r="M34" s="82"/>
    </row>
    <row r="35" spans="1:18" ht="15.5">
      <c r="A35" s="77">
        <v>19</v>
      </c>
      <c r="B35" s="81">
        <f t="shared" si="1"/>
        <v>44621</v>
      </c>
      <c r="C35" s="77">
        <f t="shared" si="2"/>
        <v>17</v>
      </c>
      <c r="D35" s="77"/>
      <c r="E35" s="8"/>
      <c r="F35" s="1">
        <v>20</v>
      </c>
      <c r="G35" s="79">
        <f t="shared" si="0"/>
        <v>44638</v>
      </c>
      <c r="H35" s="70">
        <f t="shared" si="0"/>
        <v>17</v>
      </c>
      <c r="I35" s="79"/>
      <c r="J35" s="2"/>
      <c r="K35" s="8"/>
      <c r="L35" s="69"/>
      <c r="M35" s="82"/>
    </row>
    <row r="36" spans="1:18">
      <c r="A36" s="77">
        <v>20</v>
      </c>
      <c r="B36" s="81">
        <f t="shared" si="1"/>
        <v>44638</v>
      </c>
      <c r="C36" s="77">
        <f t="shared" si="2"/>
        <v>17</v>
      </c>
      <c r="D36" s="77"/>
      <c r="E36" s="33"/>
      <c r="F36" s="1">
        <v>21</v>
      </c>
      <c r="G36" s="79">
        <f t="shared" si="0"/>
        <v>44655</v>
      </c>
      <c r="H36" s="70">
        <f t="shared" si="0"/>
        <v>17</v>
      </c>
      <c r="I36" s="70"/>
      <c r="J36" s="59"/>
      <c r="L36" s="69"/>
      <c r="M36" s="82"/>
    </row>
    <row r="37" spans="1:18">
      <c r="A37" s="77">
        <v>21</v>
      </c>
      <c r="B37" s="81">
        <f>B36+C36</f>
        <v>44655</v>
      </c>
      <c r="C37" s="77">
        <f t="shared" si="2"/>
        <v>17</v>
      </c>
      <c r="D37" s="77"/>
      <c r="E37" s="33"/>
      <c r="F37" s="1" t="s">
        <v>120</v>
      </c>
      <c r="G37" s="79">
        <f>G36+H36</f>
        <v>44672</v>
      </c>
      <c r="H37" s="70"/>
      <c r="I37" s="70" t="s">
        <v>121</v>
      </c>
      <c r="J37" s="59"/>
      <c r="L37" s="69"/>
      <c r="M37" s="82"/>
    </row>
    <row r="38" spans="1:18">
      <c r="A38" s="77" t="s">
        <v>120</v>
      </c>
      <c r="B38" s="81">
        <f>B37+C37</f>
        <v>44672</v>
      </c>
      <c r="C38" s="77"/>
      <c r="D38" s="77" t="s">
        <v>121</v>
      </c>
      <c r="E38" s="33"/>
      <c r="F38" s="70"/>
      <c r="G38" s="79"/>
      <c r="H38" s="70"/>
      <c r="I38" s="70"/>
      <c r="J38" s="59"/>
      <c r="L38" s="69"/>
      <c r="M38" s="82"/>
    </row>
    <row r="39" spans="1:18">
      <c r="A39" s="77" t="s">
        <v>122</v>
      </c>
      <c r="B39" s="81">
        <v>44688</v>
      </c>
      <c r="C39" s="83">
        <f>B39-B38</f>
        <v>16</v>
      </c>
      <c r="D39" s="77" t="s">
        <v>123</v>
      </c>
      <c r="E39" s="33"/>
      <c r="F39" s="59"/>
      <c r="G39" s="59"/>
      <c r="H39" s="59"/>
      <c r="I39" s="59"/>
      <c r="J39" s="59"/>
      <c r="L39" s="69"/>
      <c r="M39" s="82"/>
    </row>
    <row r="40" spans="1:18">
      <c r="A40" s="77"/>
      <c r="B40" s="84"/>
      <c r="C40" s="83"/>
      <c r="D40" s="83"/>
      <c r="E40" s="33"/>
      <c r="F40" s="59"/>
      <c r="G40" s="59"/>
      <c r="H40" s="59"/>
      <c r="I40" s="59"/>
      <c r="J40" s="59"/>
      <c r="L40" s="69"/>
      <c r="M40" s="82"/>
    </row>
    <row r="41" spans="1:18">
      <c r="A41" s="77" t="s">
        <v>124</v>
      </c>
      <c r="B41" s="77">
        <f>SUM(C17:C37)</f>
        <v>357</v>
      </c>
      <c r="C41" s="77"/>
      <c r="D41" s="85"/>
      <c r="E41" s="33"/>
      <c r="F41" s="33"/>
      <c r="G41" s="33"/>
      <c r="H41" s="33"/>
      <c r="I41" s="33"/>
      <c r="J41" s="33"/>
      <c r="L41" s="69"/>
      <c r="M41" s="86"/>
    </row>
    <row r="42" spans="1:18">
      <c r="A42" s="77" t="s">
        <v>125</v>
      </c>
      <c r="B42" s="77"/>
      <c r="C42" s="77"/>
      <c r="D42" s="85"/>
      <c r="E42" s="33"/>
      <c r="F42" s="33"/>
      <c r="G42" s="33"/>
      <c r="H42" s="33"/>
      <c r="I42" s="33"/>
      <c r="J42" s="33"/>
      <c r="L42" s="69"/>
      <c r="M42" s="69"/>
    </row>
    <row r="43" spans="1:18">
      <c r="A43" s="77"/>
      <c r="B43" s="77"/>
      <c r="C43" s="77"/>
      <c r="D43" s="85"/>
      <c r="L43" s="69"/>
      <c r="M43" s="69"/>
    </row>
    <row r="44" spans="1:18">
      <c r="L44" s="70"/>
      <c r="M44" s="69"/>
    </row>
    <row r="47" spans="1:18" ht="46">
      <c r="A47" s="182" t="s">
        <v>278</v>
      </c>
      <c r="H47" s="182" t="s">
        <v>279</v>
      </c>
      <c r="R47" s="182" t="s">
        <v>280</v>
      </c>
    </row>
    <row r="50" spans="1:19">
      <c r="A50" t="s">
        <v>281</v>
      </c>
    </row>
    <row r="51" spans="1:19">
      <c r="A51" t="s">
        <v>282</v>
      </c>
      <c r="H51" t="s">
        <v>983</v>
      </c>
      <c r="R51" t="s">
        <v>1664</v>
      </c>
    </row>
    <row r="52" spans="1:19">
      <c r="A52" t="s">
        <v>283</v>
      </c>
      <c r="H52" t="s">
        <v>984</v>
      </c>
      <c r="R52" t="s">
        <v>1665</v>
      </c>
    </row>
    <row r="53" spans="1:19">
      <c r="A53" t="s">
        <v>284</v>
      </c>
      <c r="H53" t="s">
        <v>985</v>
      </c>
      <c r="R53" t="s">
        <v>1666</v>
      </c>
    </row>
    <row r="54" spans="1:19">
      <c r="A54" t="s">
        <v>285</v>
      </c>
      <c r="H54" t="s">
        <v>986</v>
      </c>
      <c r="R54" t="s">
        <v>1667</v>
      </c>
    </row>
    <row r="55" spans="1:19">
      <c r="A55" t="s">
        <v>286</v>
      </c>
      <c r="H55" t="s">
        <v>987</v>
      </c>
      <c r="R55" t="s">
        <v>1668</v>
      </c>
    </row>
    <row r="56" spans="1:19">
      <c r="A56" t="s">
        <v>287</v>
      </c>
      <c r="B56" t="s">
        <v>288</v>
      </c>
      <c r="H56" t="s">
        <v>988</v>
      </c>
      <c r="R56" t="s">
        <v>1669</v>
      </c>
    </row>
    <row r="57" spans="1:19">
      <c r="A57" t="s">
        <v>289</v>
      </c>
      <c r="B57" t="s">
        <v>290</v>
      </c>
      <c r="H57" t="s">
        <v>989</v>
      </c>
      <c r="I57" t="s">
        <v>288</v>
      </c>
      <c r="R57" t="s">
        <v>1670</v>
      </c>
      <c r="S57" t="s">
        <v>288</v>
      </c>
    </row>
    <row r="58" spans="1:19">
      <c r="A58" t="s">
        <v>291</v>
      </c>
      <c r="B58" t="s">
        <v>292</v>
      </c>
      <c r="H58" t="s">
        <v>990</v>
      </c>
      <c r="I58" t="s">
        <v>290</v>
      </c>
      <c r="R58" t="s">
        <v>1671</v>
      </c>
      <c r="S58" t="s">
        <v>290</v>
      </c>
    </row>
    <row r="59" spans="1:19">
      <c r="A59" t="s">
        <v>293</v>
      </c>
      <c r="B59" t="s">
        <v>294</v>
      </c>
      <c r="H59" t="s">
        <v>991</v>
      </c>
      <c r="I59" t="s">
        <v>292</v>
      </c>
      <c r="R59" t="s">
        <v>1672</v>
      </c>
      <c r="S59" t="s">
        <v>1673</v>
      </c>
    </row>
    <row r="60" spans="1:19">
      <c r="A60" t="s">
        <v>295</v>
      </c>
      <c r="H60" t="s">
        <v>992</v>
      </c>
      <c r="I60" t="s">
        <v>993</v>
      </c>
      <c r="R60" t="s">
        <v>1674</v>
      </c>
    </row>
    <row r="61" spans="1:19">
      <c r="A61" t="s">
        <v>296</v>
      </c>
      <c r="B61" t="s">
        <v>297</v>
      </c>
      <c r="H61" t="s">
        <v>994</v>
      </c>
      <c r="R61" t="s">
        <v>1675</v>
      </c>
      <c r="S61" t="s">
        <v>297</v>
      </c>
    </row>
    <row r="62" spans="1:19">
      <c r="A62" t="s">
        <v>298</v>
      </c>
      <c r="B62" t="s">
        <v>299</v>
      </c>
      <c r="H62" t="s">
        <v>995</v>
      </c>
      <c r="I62" t="s">
        <v>297</v>
      </c>
      <c r="R62" t="s">
        <v>1676</v>
      </c>
      <c r="S62" t="s">
        <v>299</v>
      </c>
    </row>
    <row r="63" spans="1:19">
      <c r="A63" t="s">
        <v>300</v>
      </c>
      <c r="B63" t="s">
        <v>301</v>
      </c>
      <c r="H63" t="s">
        <v>996</v>
      </c>
      <c r="I63" t="s">
        <v>299</v>
      </c>
      <c r="R63" t="s">
        <v>1677</v>
      </c>
      <c r="S63" t="s">
        <v>301</v>
      </c>
    </row>
    <row r="64" spans="1:19">
      <c r="A64" t="s">
        <v>302</v>
      </c>
      <c r="B64" t="s">
        <v>303</v>
      </c>
      <c r="H64" t="s">
        <v>997</v>
      </c>
      <c r="I64" t="s">
        <v>301</v>
      </c>
      <c r="R64" t="s">
        <v>1678</v>
      </c>
      <c r="S64" t="s">
        <v>1679</v>
      </c>
    </row>
    <row r="65" spans="1:27">
      <c r="A65" t="s">
        <v>304</v>
      </c>
      <c r="H65" t="s">
        <v>998</v>
      </c>
      <c r="I65" t="s">
        <v>999</v>
      </c>
      <c r="R65" t="s">
        <v>1680</v>
      </c>
    </row>
    <row r="66" spans="1:27">
      <c r="A66" t="s">
        <v>305</v>
      </c>
      <c r="B66" t="s">
        <v>306</v>
      </c>
      <c r="H66" t="s">
        <v>1000</v>
      </c>
      <c r="R66" t="s">
        <v>1681</v>
      </c>
      <c r="S66" t="s">
        <v>306</v>
      </c>
    </row>
    <row r="67" spans="1:27">
      <c r="A67" t="s">
        <v>307</v>
      </c>
      <c r="B67" t="s">
        <v>308</v>
      </c>
      <c r="H67" t="s">
        <v>1001</v>
      </c>
      <c r="I67" t="s">
        <v>306</v>
      </c>
      <c r="R67" t="s">
        <v>1682</v>
      </c>
      <c r="S67" t="s">
        <v>308</v>
      </c>
    </row>
    <row r="68" spans="1:27">
      <c r="A68" t="s">
        <v>309</v>
      </c>
      <c r="B68" t="s">
        <v>310</v>
      </c>
      <c r="H68" t="s">
        <v>1002</v>
      </c>
      <c r="I68" t="s">
        <v>308</v>
      </c>
      <c r="R68" t="s">
        <v>1683</v>
      </c>
      <c r="S68" t="s">
        <v>310</v>
      </c>
    </row>
    <row r="69" spans="1:27">
      <c r="A69" t="s">
        <v>311</v>
      </c>
      <c r="B69" t="s">
        <v>312</v>
      </c>
      <c r="H69" t="s">
        <v>1003</v>
      </c>
      <c r="I69" t="s">
        <v>310</v>
      </c>
      <c r="R69" t="s">
        <v>1684</v>
      </c>
      <c r="S69" t="s">
        <v>312</v>
      </c>
    </row>
    <row r="70" spans="1:27">
      <c r="A70" t="s">
        <v>313</v>
      </c>
      <c r="H70" t="s">
        <v>1004</v>
      </c>
      <c r="I70" t="s">
        <v>312</v>
      </c>
      <c r="R70" t="s">
        <v>1685</v>
      </c>
    </row>
    <row r="71" spans="1:27">
      <c r="A71" t="s">
        <v>314</v>
      </c>
      <c r="B71" t="s">
        <v>315</v>
      </c>
      <c r="H71" t="s">
        <v>1005</v>
      </c>
      <c r="R71" t="s">
        <v>1686</v>
      </c>
      <c r="S71" t="s">
        <v>315</v>
      </c>
    </row>
    <row r="72" spans="1:27">
      <c r="A72" t="s">
        <v>316</v>
      </c>
      <c r="H72" t="s">
        <v>1006</v>
      </c>
      <c r="I72" t="s">
        <v>315</v>
      </c>
      <c r="R72" t="s">
        <v>1687</v>
      </c>
    </row>
    <row r="73" spans="1:27">
      <c r="A73" t="s">
        <v>317</v>
      </c>
      <c r="B73" t="s">
        <v>318</v>
      </c>
      <c r="H73" t="s">
        <v>1007</v>
      </c>
      <c r="R73" t="s">
        <v>1688</v>
      </c>
      <c r="S73" t="s">
        <v>318</v>
      </c>
    </row>
    <row r="74" spans="1:27">
      <c r="A74" t="s">
        <v>319</v>
      </c>
      <c r="B74" t="s">
        <v>320</v>
      </c>
      <c r="H74" t="s">
        <v>1008</v>
      </c>
      <c r="I74" t="s">
        <v>318</v>
      </c>
      <c r="R74" t="s">
        <v>1689</v>
      </c>
      <c r="S74" t="s">
        <v>320</v>
      </c>
    </row>
    <row r="75" spans="1:27">
      <c r="A75" t="s">
        <v>321</v>
      </c>
      <c r="B75" t="s">
        <v>322</v>
      </c>
      <c r="H75" t="s">
        <v>1009</v>
      </c>
      <c r="I75" t="s">
        <v>320</v>
      </c>
      <c r="R75" t="s">
        <v>1690</v>
      </c>
      <c r="S75" t="s">
        <v>322</v>
      </c>
    </row>
    <row r="76" spans="1:27">
      <c r="A76" s="39" t="s">
        <v>323</v>
      </c>
      <c r="B76" s="39" t="s">
        <v>324</v>
      </c>
      <c r="D76" s="183" t="s">
        <v>1998</v>
      </c>
      <c r="H76" t="s">
        <v>1010</v>
      </c>
      <c r="I76" t="s">
        <v>322</v>
      </c>
      <c r="R76" s="39" t="s">
        <v>1691</v>
      </c>
      <c r="S76" s="39" t="s">
        <v>1692</v>
      </c>
      <c r="T76" s="39"/>
      <c r="U76" s="39"/>
      <c r="Y76" s="183" t="s">
        <v>1998</v>
      </c>
      <c r="Z76" s="39"/>
      <c r="AA76" s="39"/>
    </row>
    <row r="77" spans="1:27">
      <c r="A77" t="s">
        <v>325</v>
      </c>
      <c r="D77" s="48" t="s">
        <v>1999</v>
      </c>
      <c r="H77" s="39" t="s">
        <v>1011</v>
      </c>
      <c r="I77" s="39" t="s">
        <v>1012</v>
      </c>
      <c r="J77" s="39"/>
      <c r="K77" s="39"/>
      <c r="N77" s="183" t="s">
        <v>1998</v>
      </c>
      <c r="O77" s="39"/>
      <c r="P77" s="39"/>
      <c r="R77" t="s">
        <v>1693</v>
      </c>
      <c r="Y77" s="48" t="s">
        <v>2001</v>
      </c>
    </row>
    <row r="78" spans="1:27">
      <c r="A78" t="s">
        <v>326</v>
      </c>
      <c r="B78" t="s">
        <v>327</v>
      </c>
      <c r="H78" t="s">
        <v>1013</v>
      </c>
      <c r="N78" s="48" t="s">
        <v>2000</v>
      </c>
      <c r="R78" t="s">
        <v>1694</v>
      </c>
      <c r="S78" t="s">
        <v>1695</v>
      </c>
    </row>
    <row r="79" spans="1:27">
      <c r="A79" t="s">
        <v>328</v>
      </c>
      <c r="B79" t="s">
        <v>329</v>
      </c>
      <c r="H79" t="s">
        <v>1014</v>
      </c>
      <c r="I79" t="s">
        <v>327</v>
      </c>
      <c r="R79" t="s">
        <v>1696</v>
      </c>
      <c r="S79" t="s">
        <v>1697</v>
      </c>
    </row>
    <row r="80" spans="1:27">
      <c r="A80" t="s">
        <v>330</v>
      </c>
      <c r="B80" t="s">
        <v>331</v>
      </c>
      <c r="H80" t="s">
        <v>1015</v>
      </c>
      <c r="I80" t="s">
        <v>329</v>
      </c>
      <c r="R80" t="s">
        <v>1698</v>
      </c>
      <c r="S80" t="s">
        <v>335</v>
      </c>
    </row>
    <row r="81" spans="1:19">
      <c r="A81" t="s">
        <v>332</v>
      </c>
      <c r="B81" t="s">
        <v>333</v>
      </c>
      <c r="H81" t="s">
        <v>1016</v>
      </c>
      <c r="I81" t="s">
        <v>331</v>
      </c>
      <c r="R81" t="s">
        <v>1699</v>
      </c>
    </row>
    <row r="82" spans="1:19">
      <c r="A82" t="s">
        <v>334</v>
      </c>
      <c r="B82" t="s">
        <v>335</v>
      </c>
      <c r="H82" t="s">
        <v>1017</v>
      </c>
      <c r="I82" t="s">
        <v>333</v>
      </c>
      <c r="R82" t="s">
        <v>1700</v>
      </c>
      <c r="S82" t="s">
        <v>338</v>
      </c>
    </row>
    <row r="83" spans="1:19">
      <c r="A83" t="s">
        <v>336</v>
      </c>
      <c r="H83" t="s">
        <v>1018</v>
      </c>
      <c r="I83" t="s">
        <v>335</v>
      </c>
      <c r="R83" t="s">
        <v>1701</v>
      </c>
    </row>
    <row r="84" spans="1:19">
      <c r="A84" t="s">
        <v>337</v>
      </c>
      <c r="B84" t="s">
        <v>338</v>
      </c>
      <c r="H84" t="s">
        <v>1019</v>
      </c>
      <c r="R84" t="s">
        <v>1702</v>
      </c>
    </row>
    <row r="85" spans="1:19">
      <c r="A85" t="s">
        <v>339</v>
      </c>
      <c r="H85" t="s">
        <v>1020</v>
      </c>
      <c r="I85" t="s">
        <v>338</v>
      </c>
      <c r="R85" t="s">
        <v>1703</v>
      </c>
    </row>
    <row r="86" spans="1:19">
      <c r="A86" t="s">
        <v>340</v>
      </c>
      <c r="H86" t="s">
        <v>1021</v>
      </c>
      <c r="R86" t="s">
        <v>1704</v>
      </c>
    </row>
    <row r="87" spans="1:19">
      <c r="A87" t="s">
        <v>341</v>
      </c>
      <c r="H87" t="s">
        <v>1022</v>
      </c>
      <c r="R87" t="s">
        <v>1705</v>
      </c>
    </row>
    <row r="88" spans="1:19">
      <c r="A88" t="s">
        <v>342</v>
      </c>
      <c r="H88" t="s">
        <v>1023</v>
      </c>
      <c r="R88" t="s">
        <v>1706</v>
      </c>
    </row>
    <row r="89" spans="1:19">
      <c r="A89" t="s">
        <v>343</v>
      </c>
      <c r="H89" t="s">
        <v>1024</v>
      </c>
      <c r="R89" t="s">
        <v>1707</v>
      </c>
    </row>
    <row r="90" spans="1:19">
      <c r="A90" t="s">
        <v>344</v>
      </c>
      <c r="H90" t="s">
        <v>1025</v>
      </c>
      <c r="R90" t="s">
        <v>1708</v>
      </c>
    </row>
    <row r="91" spans="1:19">
      <c r="A91" t="s">
        <v>345</v>
      </c>
      <c r="H91" t="s">
        <v>1026</v>
      </c>
      <c r="R91" t="s">
        <v>1709</v>
      </c>
    </row>
    <row r="92" spans="1:19">
      <c r="A92" t="s">
        <v>346</v>
      </c>
      <c r="H92" t="s">
        <v>1027</v>
      </c>
      <c r="R92" t="s">
        <v>1710</v>
      </c>
      <c r="S92" t="s">
        <v>349</v>
      </c>
    </row>
    <row r="93" spans="1:19">
      <c r="A93" t="s">
        <v>347</v>
      </c>
      <c r="H93" t="s">
        <v>1028</v>
      </c>
      <c r="R93" t="s">
        <v>1711</v>
      </c>
    </row>
    <row r="94" spans="1:19">
      <c r="A94" t="s">
        <v>348</v>
      </c>
      <c r="B94" t="s">
        <v>349</v>
      </c>
      <c r="H94" t="s">
        <v>1029</v>
      </c>
      <c r="R94" t="s">
        <v>1712</v>
      </c>
    </row>
    <row r="95" spans="1:19">
      <c r="A95" t="s">
        <v>350</v>
      </c>
      <c r="H95" t="s">
        <v>1030</v>
      </c>
      <c r="I95" t="s">
        <v>349</v>
      </c>
      <c r="R95" t="s">
        <v>1713</v>
      </c>
    </row>
    <row r="96" spans="1:19">
      <c r="A96" t="s">
        <v>351</v>
      </c>
      <c r="H96" t="s">
        <v>1031</v>
      </c>
      <c r="R96" t="s">
        <v>1714</v>
      </c>
    </row>
    <row r="97" spans="1:25">
      <c r="A97" t="s">
        <v>352</v>
      </c>
      <c r="H97" t="s">
        <v>1032</v>
      </c>
      <c r="R97" t="s">
        <v>1715</v>
      </c>
    </row>
    <row r="98" spans="1:25">
      <c r="A98" t="s">
        <v>353</v>
      </c>
      <c r="H98" t="s">
        <v>1033</v>
      </c>
      <c r="R98" t="s">
        <v>1716</v>
      </c>
    </row>
    <row r="99" spans="1:25">
      <c r="A99" t="s">
        <v>354</v>
      </c>
      <c r="H99" t="s">
        <v>1034</v>
      </c>
      <c r="R99" t="s">
        <v>1717</v>
      </c>
    </row>
    <row r="100" spans="1:25">
      <c r="A100" t="s">
        <v>355</v>
      </c>
      <c r="H100" t="s">
        <v>1035</v>
      </c>
      <c r="R100" t="s">
        <v>1718</v>
      </c>
    </row>
    <row r="101" spans="1:25">
      <c r="A101" t="s">
        <v>356</v>
      </c>
      <c r="H101" t="s">
        <v>1036</v>
      </c>
      <c r="R101" t="s">
        <v>1719</v>
      </c>
    </row>
    <row r="102" spans="1:25">
      <c r="A102" t="s">
        <v>357</v>
      </c>
      <c r="H102" t="s">
        <v>1037</v>
      </c>
      <c r="R102" t="s">
        <v>1720</v>
      </c>
    </row>
    <row r="103" spans="1:25">
      <c r="A103" t="s">
        <v>358</v>
      </c>
      <c r="H103" t="s">
        <v>1038</v>
      </c>
      <c r="R103" t="s">
        <v>1721</v>
      </c>
    </row>
    <row r="104" spans="1:25">
      <c r="A104" t="s">
        <v>359</v>
      </c>
      <c r="H104" t="s">
        <v>1039</v>
      </c>
      <c r="R104" t="s">
        <v>1722</v>
      </c>
    </row>
    <row r="105" spans="1:25">
      <c r="A105" t="s">
        <v>360</v>
      </c>
      <c r="H105" t="s">
        <v>1040</v>
      </c>
      <c r="R105" t="s">
        <v>1723</v>
      </c>
    </row>
    <row r="106" spans="1:25">
      <c r="A106" t="s">
        <v>361</v>
      </c>
      <c r="H106" t="s">
        <v>1041</v>
      </c>
      <c r="R106" t="s">
        <v>1724</v>
      </c>
      <c r="Y106" s="124">
        <v>44315</v>
      </c>
    </row>
    <row r="107" spans="1:25">
      <c r="A107" t="s">
        <v>362</v>
      </c>
      <c r="H107" t="s">
        <v>1042</v>
      </c>
      <c r="R107" t="s">
        <v>1725</v>
      </c>
      <c r="Y107" s="124">
        <v>44332</v>
      </c>
    </row>
    <row r="108" spans="1:25">
      <c r="A108" t="s">
        <v>363</v>
      </c>
      <c r="E108" s="124">
        <v>44315</v>
      </c>
      <c r="H108" t="s">
        <v>1043</v>
      </c>
      <c r="R108" t="s">
        <v>1726</v>
      </c>
      <c r="Y108" s="124">
        <v>44349</v>
      </c>
    </row>
    <row r="109" spans="1:25">
      <c r="A109" t="s">
        <v>364</v>
      </c>
      <c r="E109" s="124">
        <v>44332</v>
      </c>
      <c r="H109" t="s">
        <v>1044</v>
      </c>
      <c r="O109" s="124">
        <v>44315</v>
      </c>
      <c r="R109" t="s">
        <v>1727</v>
      </c>
      <c r="Y109" s="124">
        <v>44366</v>
      </c>
    </row>
    <row r="110" spans="1:25">
      <c r="A110" t="s">
        <v>365</v>
      </c>
      <c r="E110" s="124">
        <v>44349</v>
      </c>
      <c r="H110" t="s">
        <v>1045</v>
      </c>
      <c r="O110" s="124">
        <v>44332</v>
      </c>
      <c r="R110" t="s">
        <v>1728</v>
      </c>
      <c r="Y110" s="124">
        <v>44383</v>
      </c>
    </row>
    <row r="111" spans="1:25">
      <c r="A111" t="s">
        <v>366</v>
      </c>
      <c r="E111" s="124">
        <v>44366</v>
      </c>
      <c r="H111" t="s">
        <v>1046</v>
      </c>
      <c r="O111" s="124">
        <v>44349</v>
      </c>
      <c r="R111" t="s">
        <v>1729</v>
      </c>
      <c r="Y111" s="124">
        <v>44400</v>
      </c>
    </row>
    <row r="112" spans="1:25">
      <c r="A112" t="s">
        <v>367</v>
      </c>
      <c r="E112" s="124">
        <v>44383</v>
      </c>
      <c r="H112" t="s">
        <v>1047</v>
      </c>
      <c r="O112" s="124">
        <v>44366</v>
      </c>
      <c r="R112" t="s">
        <v>1730</v>
      </c>
      <c r="Y112" s="124">
        <v>44417</v>
      </c>
    </row>
    <row r="113" spans="1:25">
      <c r="A113" t="s">
        <v>368</v>
      </c>
      <c r="E113" s="124">
        <v>44400</v>
      </c>
      <c r="H113" t="s">
        <v>1048</v>
      </c>
      <c r="O113" s="124">
        <v>44383</v>
      </c>
      <c r="R113" t="s">
        <v>1731</v>
      </c>
      <c r="Y113" s="124">
        <v>44434</v>
      </c>
    </row>
    <row r="114" spans="1:25">
      <c r="A114" t="s">
        <v>369</v>
      </c>
      <c r="E114" s="124">
        <v>44417</v>
      </c>
      <c r="H114" t="s">
        <v>1049</v>
      </c>
      <c r="O114" s="124">
        <v>44400</v>
      </c>
      <c r="R114" t="s">
        <v>1732</v>
      </c>
      <c r="Y114" s="124">
        <v>44451</v>
      </c>
    </row>
    <row r="115" spans="1:25">
      <c r="A115" t="s">
        <v>370</v>
      </c>
      <c r="E115" s="124">
        <v>44434</v>
      </c>
      <c r="H115" t="s">
        <v>1050</v>
      </c>
      <c r="O115" s="124">
        <v>44417</v>
      </c>
      <c r="R115" t="s">
        <v>1733</v>
      </c>
      <c r="Y115" s="124">
        <v>44468</v>
      </c>
    </row>
    <row r="116" spans="1:25">
      <c r="A116" t="s">
        <v>371</v>
      </c>
      <c r="E116" s="124">
        <v>44451</v>
      </c>
      <c r="H116" t="s">
        <v>1051</v>
      </c>
      <c r="O116" s="124">
        <v>44434</v>
      </c>
      <c r="R116" t="s">
        <v>1734</v>
      </c>
      <c r="Y116" s="124">
        <v>44485</v>
      </c>
    </row>
    <row r="117" spans="1:25">
      <c r="A117" t="s">
        <v>372</v>
      </c>
      <c r="E117" s="124">
        <v>44468</v>
      </c>
      <c r="H117" t="s">
        <v>1052</v>
      </c>
      <c r="O117" s="124">
        <v>44451</v>
      </c>
      <c r="R117" t="s">
        <v>1735</v>
      </c>
      <c r="Y117" s="124">
        <v>44502</v>
      </c>
    </row>
    <row r="118" spans="1:25">
      <c r="A118" t="s">
        <v>373</v>
      </c>
      <c r="E118" s="124">
        <v>44485</v>
      </c>
      <c r="H118" t="s">
        <v>1053</v>
      </c>
      <c r="O118" s="124">
        <v>44468</v>
      </c>
      <c r="R118" t="s">
        <v>1736</v>
      </c>
      <c r="Y118" s="124">
        <v>44519</v>
      </c>
    </row>
    <row r="119" spans="1:25">
      <c r="A119" t="s">
        <v>374</v>
      </c>
      <c r="E119" s="124">
        <v>44502</v>
      </c>
      <c r="H119" t="s">
        <v>1054</v>
      </c>
      <c r="O119" s="124">
        <v>44485</v>
      </c>
      <c r="R119" t="s">
        <v>1737</v>
      </c>
      <c r="Y119" s="124">
        <v>44536</v>
      </c>
    </row>
    <row r="120" spans="1:25">
      <c r="A120" t="s">
        <v>375</v>
      </c>
      <c r="E120" s="124">
        <v>44519</v>
      </c>
      <c r="H120" t="s">
        <v>1055</v>
      </c>
      <c r="O120" s="124">
        <v>44502</v>
      </c>
      <c r="R120" t="s">
        <v>1738</v>
      </c>
      <c r="Y120" s="124">
        <v>44553</v>
      </c>
    </row>
    <row r="121" spans="1:25">
      <c r="A121" t="s">
        <v>376</v>
      </c>
      <c r="E121" s="124">
        <v>44536</v>
      </c>
      <c r="H121" t="s">
        <v>1056</v>
      </c>
      <c r="O121" s="124">
        <v>44519</v>
      </c>
      <c r="R121" t="s">
        <v>1739</v>
      </c>
      <c r="Y121" s="124">
        <v>44570</v>
      </c>
    </row>
    <row r="122" spans="1:25">
      <c r="A122" t="s">
        <v>377</v>
      </c>
      <c r="E122" s="124">
        <v>44553</v>
      </c>
      <c r="H122" t="s">
        <v>1057</v>
      </c>
      <c r="O122" s="124">
        <v>44536</v>
      </c>
      <c r="R122" t="s">
        <v>1740</v>
      </c>
      <c r="Y122" s="124">
        <v>44587</v>
      </c>
    </row>
    <row r="123" spans="1:25">
      <c r="A123" t="s">
        <v>378</v>
      </c>
      <c r="E123" s="124">
        <v>44570</v>
      </c>
      <c r="H123" t="s">
        <v>1058</v>
      </c>
      <c r="O123" s="124">
        <v>44553</v>
      </c>
      <c r="R123" t="s">
        <v>1741</v>
      </c>
      <c r="Y123" s="124">
        <v>44604</v>
      </c>
    </row>
    <row r="124" spans="1:25">
      <c r="A124" t="s">
        <v>379</v>
      </c>
      <c r="E124" s="124">
        <v>44587</v>
      </c>
      <c r="H124" t="s">
        <v>1059</v>
      </c>
      <c r="O124" s="124">
        <v>44570</v>
      </c>
      <c r="R124" t="s">
        <v>1742</v>
      </c>
      <c r="Y124" s="124">
        <v>44621</v>
      </c>
    </row>
    <row r="125" spans="1:25">
      <c r="A125" t="s">
        <v>380</v>
      </c>
      <c r="E125" s="124">
        <v>44604</v>
      </c>
      <c r="H125" t="s">
        <v>1060</v>
      </c>
      <c r="O125" s="124">
        <v>44587</v>
      </c>
      <c r="R125" t="s">
        <v>1743</v>
      </c>
      <c r="Y125" s="124">
        <v>44638</v>
      </c>
    </row>
    <row r="126" spans="1:25">
      <c r="A126" t="s">
        <v>381</v>
      </c>
      <c r="E126" s="124">
        <v>44621</v>
      </c>
      <c r="H126" t="s">
        <v>1061</v>
      </c>
      <c r="O126" s="124">
        <v>44604</v>
      </c>
      <c r="R126" t="s">
        <v>1744</v>
      </c>
      <c r="Y126" s="124">
        <v>44655</v>
      </c>
    </row>
    <row r="127" spans="1:25">
      <c r="A127" t="s">
        <v>382</v>
      </c>
      <c r="E127" s="124">
        <v>44638</v>
      </c>
      <c r="H127" t="s">
        <v>1062</v>
      </c>
      <c r="O127" s="124">
        <v>44621</v>
      </c>
      <c r="R127" t="s">
        <v>1745</v>
      </c>
      <c r="Y127" s="124">
        <v>44672</v>
      </c>
    </row>
    <row r="128" spans="1:25">
      <c r="A128" t="s">
        <v>383</v>
      </c>
      <c r="E128" s="124">
        <v>44655</v>
      </c>
      <c r="H128" t="s">
        <v>1063</v>
      </c>
      <c r="O128" s="124">
        <v>44638</v>
      </c>
      <c r="R128" t="s">
        <v>1746</v>
      </c>
    </row>
    <row r="129" spans="1:18">
      <c r="A129" t="s">
        <v>384</v>
      </c>
      <c r="E129" s="124">
        <v>44672</v>
      </c>
      <c r="H129" t="s">
        <v>1064</v>
      </c>
      <c r="O129" s="124">
        <v>44655</v>
      </c>
      <c r="R129" t="s">
        <v>1747</v>
      </c>
    </row>
    <row r="130" spans="1:18">
      <c r="A130" t="s">
        <v>385</v>
      </c>
      <c r="H130" t="s">
        <v>1065</v>
      </c>
      <c r="O130" s="124">
        <v>44672</v>
      </c>
      <c r="R130" t="s">
        <v>1748</v>
      </c>
    </row>
    <row r="131" spans="1:18">
      <c r="A131" t="s">
        <v>386</v>
      </c>
      <c r="H131" t="s">
        <v>1066</v>
      </c>
      <c r="R131" t="s">
        <v>1749</v>
      </c>
    </row>
    <row r="132" spans="1:18">
      <c r="A132" t="s">
        <v>387</v>
      </c>
      <c r="H132" t="s">
        <v>1067</v>
      </c>
      <c r="R132" t="s">
        <v>1749</v>
      </c>
    </row>
    <row r="133" spans="1:18">
      <c r="A133" t="s">
        <v>388</v>
      </c>
      <c r="H133" t="s">
        <v>1068</v>
      </c>
      <c r="R133" t="s">
        <v>1750</v>
      </c>
    </row>
    <row r="134" spans="1:18">
      <c r="A134" t="s">
        <v>388</v>
      </c>
      <c r="H134" t="s">
        <v>1069</v>
      </c>
      <c r="R134" t="s">
        <v>1751</v>
      </c>
    </row>
    <row r="135" spans="1:18">
      <c r="A135" t="s">
        <v>389</v>
      </c>
      <c r="H135" t="s">
        <v>1070</v>
      </c>
      <c r="R135" t="s">
        <v>1752</v>
      </c>
    </row>
    <row r="136" spans="1:18">
      <c r="A136" t="s">
        <v>390</v>
      </c>
      <c r="H136" t="s">
        <v>1071</v>
      </c>
      <c r="R136" t="s">
        <v>1753</v>
      </c>
    </row>
    <row r="137" spans="1:18">
      <c r="A137" t="s">
        <v>391</v>
      </c>
      <c r="H137" t="s">
        <v>1072</v>
      </c>
      <c r="R137" t="s">
        <v>1754</v>
      </c>
    </row>
    <row r="138" spans="1:18">
      <c r="A138" t="s">
        <v>392</v>
      </c>
      <c r="H138" t="s">
        <v>1073</v>
      </c>
      <c r="R138" t="s">
        <v>1755</v>
      </c>
    </row>
    <row r="139" spans="1:18">
      <c r="A139" t="s">
        <v>393</v>
      </c>
      <c r="H139" t="s">
        <v>1074</v>
      </c>
      <c r="R139" t="s">
        <v>1756</v>
      </c>
    </row>
    <row r="140" spans="1:18">
      <c r="A140" t="s">
        <v>394</v>
      </c>
      <c r="H140" t="s">
        <v>1075</v>
      </c>
      <c r="R140" t="s">
        <v>1757</v>
      </c>
    </row>
    <row r="141" spans="1:18">
      <c r="A141" t="s">
        <v>395</v>
      </c>
      <c r="H141" t="s">
        <v>1076</v>
      </c>
      <c r="R141" t="s">
        <v>1758</v>
      </c>
    </row>
    <row r="142" spans="1:18">
      <c r="A142" t="s">
        <v>396</v>
      </c>
      <c r="H142" t="s">
        <v>1077</v>
      </c>
      <c r="R142" t="s">
        <v>1759</v>
      </c>
    </row>
    <row r="143" spans="1:18">
      <c r="A143" t="s">
        <v>397</v>
      </c>
      <c r="H143" t="s">
        <v>1078</v>
      </c>
      <c r="R143" t="s">
        <v>1760</v>
      </c>
    </row>
    <row r="144" spans="1:18">
      <c r="A144" t="s">
        <v>398</v>
      </c>
      <c r="H144" t="s">
        <v>1079</v>
      </c>
      <c r="R144" t="s">
        <v>1761</v>
      </c>
    </row>
    <row r="145" spans="1:18">
      <c r="A145" t="s">
        <v>399</v>
      </c>
      <c r="H145" t="s">
        <v>1080</v>
      </c>
      <c r="R145" t="s">
        <v>1762</v>
      </c>
    </row>
    <row r="146" spans="1:18">
      <c r="A146" t="s">
        <v>400</v>
      </c>
      <c r="H146" t="s">
        <v>1081</v>
      </c>
      <c r="R146" t="s">
        <v>1763</v>
      </c>
    </row>
    <row r="147" spans="1:18">
      <c r="A147" t="s">
        <v>401</v>
      </c>
      <c r="H147" t="s">
        <v>1082</v>
      </c>
      <c r="R147" t="s">
        <v>1764</v>
      </c>
    </row>
    <row r="148" spans="1:18">
      <c r="A148" t="s">
        <v>402</v>
      </c>
      <c r="H148" t="s">
        <v>1083</v>
      </c>
      <c r="R148" t="s">
        <v>1765</v>
      </c>
    </row>
    <row r="149" spans="1:18">
      <c r="A149" t="s">
        <v>403</v>
      </c>
      <c r="H149" t="s">
        <v>1084</v>
      </c>
      <c r="R149" t="s">
        <v>1766</v>
      </c>
    </row>
    <row r="150" spans="1:18">
      <c r="A150" t="s">
        <v>404</v>
      </c>
      <c r="H150" t="s">
        <v>1085</v>
      </c>
      <c r="R150" t="s">
        <v>1767</v>
      </c>
    </row>
    <row r="151" spans="1:18">
      <c r="A151" t="s">
        <v>405</v>
      </c>
      <c r="H151" t="s">
        <v>1086</v>
      </c>
      <c r="R151" t="s">
        <v>1768</v>
      </c>
    </row>
    <row r="152" spans="1:18">
      <c r="A152" t="s">
        <v>406</v>
      </c>
      <c r="H152" t="s">
        <v>1087</v>
      </c>
      <c r="R152" t="s">
        <v>1769</v>
      </c>
    </row>
    <row r="153" spans="1:18">
      <c r="A153" t="s">
        <v>407</v>
      </c>
      <c r="H153" t="s">
        <v>1088</v>
      </c>
      <c r="R153" t="s">
        <v>1770</v>
      </c>
    </row>
    <row r="154" spans="1:18">
      <c r="A154" t="s">
        <v>408</v>
      </c>
      <c r="H154" t="s">
        <v>1089</v>
      </c>
      <c r="R154" t="s">
        <v>1771</v>
      </c>
    </row>
    <row r="155" spans="1:18">
      <c r="A155" t="s">
        <v>409</v>
      </c>
      <c r="H155" t="s">
        <v>1090</v>
      </c>
      <c r="R155" t="s">
        <v>1772</v>
      </c>
    </row>
    <row r="156" spans="1:18">
      <c r="A156" t="s">
        <v>410</v>
      </c>
      <c r="H156" t="s">
        <v>1091</v>
      </c>
      <c r="R156" t="s">
        <v>1773</v>
      </c>
    </row>
    <row r="157" spans="1:18">
      <c r="A157" t="s">
        <v>411</v>
      </c>
      <c r="H157" t="s">
        <v>1092</v>
      </c>
      <c r="R157" t="s">
        <v>1774</v>
      </c>
    </row>
    <row r="158" spans="1:18">
      <c r="A158" t="s">
        <v>412</v>
      </c>
      <c r="H158" t="s">
        <v>1093</v>
      </c>
      <c r="R158" t="s">
        <v>1775</v>
      </c>
    </row>
    <row r="159" spans="1:18">
      <c r="A159" t="s">
        <v>413</v>
      </c>
      <c r="H159" t="s">
        <v>1094</v>
      </c>
      <c r="R159" t="s">
        <v>1776</v>
      </c>
    </row>
    <row r="160" spans="1:18">
      <c r="A160" t="s">
        <v>414</v>
      </c>
      <c r="H160" t="s">
        <v>1095</v>
      </c>
      <c r="R160" t="s">
        <v>1777</v>
      </c>
    </row>
    <row r="161" spans="1:18">
      <c r="A161" t="s">
        <v>415</v>
      </c>
      <c r="H161" t="s">
        <v>1096</v>
      </c>
      <c r="R161" t="s">
        <v>1778</v>
      </c>
    </row>
    <row r="162" spans="1:18">
      <c r="A162" t="s">
        <v>416</v>
      </c>
      <c r="H162" t="s">
        <v>1097</v>
      </c>
      <c r="R162" t="s">
        <v>1779</v>
      </c>
    </row>
    <row r="163" spans="1:18">
      <c r="A163" t="s">
        <v>417</v>
      </c>
      <c r="H163" t="s">
        <v>1098</v>
      </c>
      <c r="R163" t="s">
        <v>1780</v>
      </c>
    </row>
    <row r="164" spans="1:18">
      <c r="A164" t="s">
        <v>418</v>
      </c>
      <c r="H164" t="s">
        <v>1099</v>
      </c>
      <c r="R164" t="s">
        <v>1781</v>
      </c>
    </row>
    <row r="165" spans="1:18">
      <c r="A165" t="s">
        <v>419</v>
      </c>
      <c r="H165" t="s">
        <v>1100</v>
      </c>
      <c r="R165" t="s">
        <v>1782</v>
      </c>
    </row>
    <row r="166" spans="1:18">
      <c r="A166" t="s">
        <v>420</v>
      </c>
      <c r="H166" t="s">
        <v>1101</v>
      </c>
      <c r="R166" t="s">
        <v>1783</v>
      </c>
    </row>
    <row r="167" spans="1:18">
      <c r="A167" t="s">
        <v>421</v>
      </c>
      <c r="H167" t="s">
        <v>1102</v>
      </c>
      <c r="R167" t="s">
        <v>1784</v>
      </c>
    </row>
    <row r="168" spans="1:18">
      <c r="A168" t="s">
        <v>422</v>
      </c>
      <c r="H168" t="s">
        <v>1103</v>
      </c>
      <c r="R168" t="s">
        <v>1785</v>
      </c>
    </row>
    <row r="169" spans="1:18">
      <c r="A169" t="s">
        <v>423</v>
      </c>
      <c r="H169" t="s">
        <v>1104</v>
      </c>
      <c r="R169" t="s">
        <v>1786</v>
      </c>
    </row>
    <row r="170" spans="1:18">
      <c r="A170" t="s">
        <v>424</v>
      </c>
      <c r="H170" t="s">
        <v>1105</v>
      </c>
      <c r="R170" t="s">
        <v>1787</v>
      </c>
    </row>
    <row r="171" spans="1:18">
      <c r="A171" t="s">
        <v>425</v>
      </c>
      <c r="H171" t="s">
        <v>1106</v>
      </c>
      <c r="R171" t="s">
        <v>1788</v>
      </c>
    </row>
    <row r="172" spans="1:18">
      <c r="A172" t="s">
        <v>426</v>
      </c>
      <c r="H172" t="s">
        <v>1107</v>
      </c>
      <c r="R172" t="s">
        <v>1789</v>
      </c>
    </row>
    <row r="173" spans="1:18">
      <c r="A173" t="s">
        <v>427</v>
      </c>
      <c r="H173" t="s">
        <v>1108</v>
      </c>
      <c r="R173" t="s">
        <v>1790</v>
      </c>
    </row>
    <row r="174" spans="1:18">
      <c r="A174" t="s">
        <v>428</v>
      </c>
      <c r="H174" t="s">
        <v>1109</v>
      </c>
      <c r="R174" t="s">
        <v>1791</v>
      </c>
    </row>
    <row r="175" spans="1:18">
      <c r="A175" t="s">
        <v>429</v>
      </c>
      <c r="H175" t="s">
        <v>1110</v>
      </c>
      <c r="R175" t="s">
        <v>1792</v>
      </c>
    </row>
    <row r="176" spans="1:18">
      <c r="A176" t="s">
        <v>430</v>
      </c>
      <c r="H176" t="s">
        <v>1111</v>
      </c>
      <c r="R176" t="s">
        <v>1793</v>
      </c>
    </row>
    <row r="177" spans="1:18">
      <c r="A177" t="s">
        <v>431</v>
      </c>
      <c r="H177" t="s">
        <v>1112</v>
      </c>
      <c r="R177" t="s">
        <v>1794</v>
      </c>
    </row>
    <row r="178" spans="1:18">
      <c r="A178" t="s">
        <v>432</v>
      </c>
      <c r="H178" t="s">
        <v>1113</v>
      </c>
      <c r="R178" t="s">
        <v>1795</v>
      </c>
    </row>
    <row r="179" spans="1:18">
      <c r="A179" t="s">
        <v>433</v>
      </c>
      <c r="H179" t="s">
        <v>1114</v>
      </c>
      <c r="R179" t="s">
        <v>1796</v>
      </c>
    </row>
    <row r="180" spans="1:18">
      <c r="A180" t="s">
        <v>434</v>
      </c>
      <c r="H180" t="s">
        <v>1115</v>
      </c>
      <c r="R180" t="s">
        <v>1797</v>
      </c>
    </row>
    <row r="181" spans="1:18">
      <c r="A181" t="s">
        <v>435</v>
      </c>
      <c r="H181" t="s">
        <v>1116</v>
      </c>
      <c r="R181" t="s">
        <v>1798</v>
      </c>
    </row>
    <row r="182" spans="1:18">
      <c r="A182" t="s">
        <v>436</v>
      </c>
      <c r="H182" t="s">
        <v>1117</v>
      </c>
      <c r="R182" t="s">
        <v>1799</v>
      </c>
    </row>
    <row r="183" spans="1:18">
      <c r="A183" t="s">
        <v>437</v>
      </c>
      <c r="H183" t="s">
        <v>1118</v>
      </c>
      <c r="R183" t="s">
        <v>1800</v>
      </c>
    </row>
    <row r="184" spans="1:18">
      <c r="A184" t="s">
        <v>438</v>
      </c>
      <c r="H184" t="s">
        <v>1119</v>
      </c>
      <c r="R184" t="s">
        <v>1801</v>
      </c>
    </row>
    <row r="185" spans="1:18">
      <c r="A185" t="s">
        <v>439</v>
      </c>
      <c r="H185" t="s">
        <v>1120</v>
      </c>
      <c r="R185" t="s">
        <v>1802</v>
      </c>
    </row>
    <row r="186" spans="1:18">
      <c r="A186" t="s">
        <v>440</v>
      </c>
      <c r="H186" t="s">
        <v>1121</v>
      </c>
      <c r="R186" t="s">
        <v>1803</v>
      </c>
    </row>
    <row r="187" spans="1:18">
      <c r="A187" t="s">
        <v>441</v>
      </c>
      <c r="H187" t="s">
        <v>1122</v>
      </c>
      <c r="R187" t="s">
        <v>1804</v>
      </c>
    </row>
    <row r="188" spans="1:18">
      <c r="A188" t="s">
        <v>442</v>
      </c>
      <c r="H188" t="s">
        <v>1123</v>
      </c>
      <c r="R188" t="s">
        <v>1805</v>
      </c>
    </row>
    <row r="189" spans="1:18">
      <c r="A189" t="s">
        <v>443</v>
      </c>
      <c r="H189" t="s">
        <v>1124</v>
      </c>
      <c r="R189" t="s">
        <v>1806</v>
      </c>
    </row>
    <row r="190" spans="1:18">
      <c r="A190" t="s">
        <v>444</v>
      </c>
      <c r="H190" t="s">
        <v>1125</v>
      </c>
      <c r="R190" t="s">
        <v>1807</v>
      </c>
    </row>
    <row r="191" spans="1:18">
      <c r="A191" t="s">
        <v>445</v>
      </c>
      <c r="H191" t="s">
        <v>1126</v>
      </c>
      <c r="R191" t="s">
        <v>1808</v>
      </c>
    </row>
    <row r="192" spans="1:18">
      <c r="A192" t="s">
        <v>446</v>
      </c>
      <c r="H192" t="s">
        <v>1127</v>
      </c>
      <c r="R192" t="s">
        <v>1809</v>
      </c>
    </row>
    <row r="193" spans="1:18">
      <c r="A193" t="s">
        <v>447</v>
      </c>
      <c r="H193" t="s">
        <v>1128</v>
      </c>
      <c r="R193" t="s">
        <v>1810</v>
      </c>
    </row>
    <row r="194" spans="1:18">
      <c r="A194" t="s">
        <v>448</v>
      </c>
      <c r="H194" t="s">
        <v>1129</v>
      </c>
      <c r="R194" t="s">
        <v>1811</v>
      </c>
    </row>
    <row r="195" spans="1:18">
      <c r="A195" t="s">
        <v>449</v>
      </c>
      <c r="H195" t="s">
        <v>1130</v>
      </c>
      <c r="R195" t="s">
        <v>1812</v>
      </c>
    </row>
    <row r="196" spans="1:18">
      <c r="A196" t="s">
        <v>450</v>
      </c>
      <c r="H196" t="s">
        <v>1131</v>
      </c>
      <c r="R196" t="s">
        <v>1813</v>
      </c>
    </row>
    <row r="197" spans="1:18">
      <c r="A197" t="s">
        <v>451</v>
      </c>
      <c r="H197" t="s">
        <v>1132</v>
      </c>
      <c r="R197" t="s">
        <v>1814</v>
      </c>
    </row>
    <row r="198" spans="1:18">
      <c r="A198" t="s">
        <v>452</v>
      </c>
      <c r="H198" t="s">
        <v>1133</v>
      </c>
      <c r="R198" t="s">
        <v>1815</v>
      </c>
    </row>
    <row r="199" spans="1:18">
      <c r="A199" t="s">
        <v>453</v>
      </c>
      <c r="H199" t="s">
        <v>1134</v>
      </c>
      <c r="R199" t="s">
        <v>1816</v>
      </c>
    </row>
    <row r="200" spans="1:18">
      <c r="A200" t="s">
        <v>454</v>
      </c>
      <c r="H200" t="s">
        <v>1135</v>
      </c>
      <c r="R200" t="s">
        <v>1817</v>
      </c>
    </row>
    <row r="201" spans="1:18">
      <c r="A201" t="s">
        <v>455</v>
      </c>
      <c r="H201" t="s">
        <v>1136</v>
      </c>
      <c r="R201" t="s">
        <v>1818</v>
      </c>
    </row>
    <row r="202" spans="1:18">
      <c r="A202" t="s">
        <v>456</v>
      </c>
      <c r="H202" t="s">
        <v>1137</v>
      </c>
      <c r="R202" t="s">
        <v>1819</v>
      </c>
    </row>
    <row r="203" spans="1:18">
      <c r="A203" t="s">
        <v>457</v>
      </c>
      <c r="H203" t="s">
        <v>1138</v>
      </c>
      <c r="R203" t="s">
        <v>1820</v>
      </c>
    </row>
    <row r="204" spans="1:18">
      <c r="A204" t="s">
        <v>458</v>
      </c>
      <c r="H204" t="s">
        <v>1139</v>
      </c>
      <c r="R204" t="s">
        <v>1821</v>
      </c>
    </row>
    <row r="205" spans="1:18">
      <c r="A205" t="s">
        <v>459</v>
      </c>
      <c r="H205" t="s">
        <v>1140</v>
      </c>
      <c r="R205" t="s">
        <v>1822</v>
      </c>
    </row>
    <row r="206" spans="1:18">
      <c r="A206" t="s">
        <v>460</v>
      </c>
      <c r="H206" t="s">
        <v>1141</v>
      </c>
      <c r="R206" t="s">
        <v>1823</v>
      </c>
    </row>
    <row r="207" spans="1:18">
      <c r="A207" t="s">
        <v>461</v>
      </c>
      <c r="H207" t="s">
        <v>1142</v>
      </c>
      <c r="R207" t="s">
        <v>1824</v>
      </c>
    </row>
    <row r="208" spans="1:18">
      <c r="A208" t="s">
        <v>462</v>
      </c>
      <c r="H208" t="s">
        <v>1143</v>
      </c>
      <c r="R208" t="s">
        <v>1825</v>
      </c>
    </row>
    <row r="209" spans="1:18">
      <c r="A209" t="s">
        <v>463</v>
      </c>
      <c r="H209" t="s">
        <v>1144</v>
      </c>
      <c r="R209" t="s">
        <v>1826</v>
      </c>
    </row>
    <row r="210" spans="1:18">
      <c r="A210" t="s">
        <v>464</v>
      </c>
      <c r="H210" t="s">
        <v>1145</v>
      </c>
      <c r="R210" t="s">
        <v>1827</v>
      </c>
    </row>
    <row r="211" spans="1:18">
      <c r="A211" t="s">
        <v>465</v>
      </c>
      <c r="H211" t="s">
        <v>1146</v>
      </c>
      <c r="R211" t="s">
        <v>1828</v>
      </c>
    </row>
    <row r="212" spans="1:18">
      <c r="A212" t="s">
        <v>466</v>
      </c>
      <c r="H212" t="s">
        <v>1147</v>
      </c>
      <c r="R212" t="s">
        <v>1829</v>
      </c>
    </row>
    <row r="213" spans="1:18">
      <c r="A213" t="s">
        <v>467</v>
      </c>
      <c r="H213" t="s">
        <v>1148</v>
      </c>
      <c r="R213" t="s">
        <v>1830</v>
      </c>
    </row>
    <row r="214" spans="1:18">
      <c r="A214" t="s">
        <v>468</v>
      </c>
      <c r="H214" t="s">
        <v>1149</v>
      </c>
      <c r="R214" t="s">
        <v>1831</v>
      </c>
    </row>
    <row r="215" spans="1:18">
      <c r="A215" t="s">
        <v>469</v>
      </c>
      <c r="H215" t="s">
        <v>1150</v>
      </c>
      <c r="R215" t="s">
        <v>1832</v>
      </c>
    </row>
    <row r="216" spans="1:18">
      <c r="A216" t="s">
        <v>470</v>
      </c>
      <c r="H216" t="s">
        <v>1151</v>
      </c>
      <c r="R216" t="s">
        <v>1833</v>
      </c>
    </row>
    <row r="217" spans="1:18">
      <c r="A217" t="s">
        <v>471</v>
      </c>
      <c r="H217" t="s">
        <v>1152</v>
      </c>
      <c r="R217" t="s">
        <v>1834</v>
      </c>
    </row>
    <row r="218" spans="1:18">
      <c r="A218" t="s">
        <v>472</v>
      </c>
      <c r="H218" t="s">
        <v>1153</v>
      </c>
      <c r="R218" t="s">
        <v>1835</v>
      </c>
    </row>
    <row r="219" spans="1:18">
      <c r="A219" t="s">
        <v>473</v>
      </c>
      <c r="H219" t="s">
        <v>1154</v>
      </c>
      <c r="R219" t="s">
        <v>1836</v>
      </c>
    </row>
    <row r="220" spans="1:18">
      <c r="A220" t="s">
        <v>474</v>
      </c>
      <c r="H220" t="s">
        <v>1155</v>
      </c>
      <c r="R220" t="s">
        <v>1837</v>
      </c>
    </row>
    <row r="221" spans="1:18">
      <c r="A221" t="s">
        <v>475</v>
      </c>
      <c r="H221" t="s">
        <v>1156</v>
      </c>
      <c r="R221" t="s">
        <v>1838</v>
      </c>
    </row>
    <row r="222" spans="1:18">
      <c r="A222" t="s">
        <v>476</v>
      </c>
      <c r="H222" t="s">
        <v>1157</v>
      </c>
      <c r="R222" t="s">
        <v>1839</v>
      </c>
    </row>
    <row r="223" spans="1:18">
      <c r="A223" t="s">
        <v>477</v>
      </c>
      <c r="H223" t="s">
        <v>1158</v>
      </c>
      <c r="R223" t="s">
        <v>1840</v>
      </c>
    </row>
    <row r="224" spans="1:18">
      <c r="A224" t="s">
        <v>478</v>
      </c>
      <c r="H224" t="s">
        <v>1159</v>
      </c>
      <c r="R224" t="s">
        <v>1841</v>
      </c>
    </row>
    <row r="225" spans="1:18">
      <c r="A225" t="s">
        <v>479</v>
      </c>
      <c r="H225" t="s">
        <v>1160</v>
      </c>
      <c r="R225" t="s">
        <v>1842</v>
      </c>
    </row>
    <row r="226" spans="1:18">
      <c r="A226" t="s">
        <v>480</v>
      </c>
      <c r="H226" t="s">
        <v>1161</v>
      </c>
      <c r="R226" t="s">
        <v>1843</v>
      </c>
    </row>
    <row r="227" spans="1:18">
      <c r="A227" t="s">
        <v>481</v>
      </c>
      <c r="H227" t="s">
        <v>1162</v>
      </c>
      <c r="R227" t="s">
        <v>1844</v>
      </c>
    </row>
    <row r="228" spans="1:18">
      <c r="A228" t="s">
        <v>482</v>
      </c>
      <c r="H228" t="s">
        <v>1163</v>
      </c>
      <c r="R228" t="s">
        <v>1845</v>
      </c>
    </row>
    <row r="229" spans="1:18">
      <c r="A229" t="s">
        <v>483</v>
      </c>
      <c r="H229" t="s">
        <v>1164</v>
      </c>
      <c r="R229" t="s">
        <v>1846</v>
      </c>
    </row>
    <row r="230" spans="1:18">
      <c r="A230" t="s">
        <v>484</v>
      </c>
      <c r="H230" t="s">
        <v>1165</v>
      </c>
      <c r="R230" t="s">
        <v>1847</v>
      </c>
    </row>
    <row r="231" spans="1:18">
      <c r="A231" t="s">
        <v>485</v>
      </c>
      <c r="H231" t="s">
        <v>1166</v>
      </c>
      <c r="R231" t="s">
        <v>1848</v>
      </c>
    </row>
    <row r="232" spans="1:18">
      <c r="A232" t="s">
        <v>486</v>
      </c>
      <c r="H232" t="s">
        <v>1167</v>
      </c>
      <c r="R232" t="s">
        <v>1849</v>
      </c>
    </row>
    <row r="233" spans="1:18">
      <c r="A233" t="s">
        <v>487</v>
      </c>
      <c r="H233" t="s">
        <v>1168</v>
      </c>
      <c r="R233" t="s">
        <v>1850</v>
      </c>
    </row>
    <row r="234" spans="1:18">
      <c r="A234" t="s">
        <v>488</v>
      </c>
      <c r="H234" t="s">
        <v>1169</v>
      </c>
      <c r="R234" t="s">
        <v>1851</v>
      </c>
    </row>
    <row r="235" spans="1:18">
      <c r="A235" t="s">
        <v>489</v>
      </c>
      <c r="H235" t="s">
        <v>1170</v>
      </c>
      <c r="R235" t="s">
        <v>1852</v>
      </c>
    </row>
    <row r="236" spans="1:18">
      <c r="A236" t="s">
        <v>490</v>
      </c>
      <c r="H236" t="s">
        <v>1171</v>
      </c>
      <c r="R236" t="s">
        <v>1853</v>
      </c>
    </row>
    <row r="237" spans="1:18">
      <c r="A237" t="s">
        <v>491</v>
      </c>
      <c r="H237" t="s">
        <v>1172</v>
      </c>
      <c r="R237" t="s">
        <v>1854</v>
      </c>
    </row>
    <row r="238" spans="1:18">
      <c r="A238" t="s">
        <v>492</v>
      </c>
      <c r="H238" t="s">
        <v>1173</v>
      </c>
      <c r="R238" t="s">
        <v>1855</v>
      </c>
    </row>
    <row r="239" spans="1:18">
      <c r="A239" t="s">
        <v>493</v>
      </c>
      <c r="H239" t="s">
        <v>1174</v>
      </c>
      <c r="R239" t="s">
        <v>1856</v>
      </c>
    </row>
    <row r="240" spans="1:18">
      <c r="A240" t="s">
        <v>494</v>
      </c>
      <c r="H240" t="s">
        <v>1175</v>
      </c>
      <c r="R240" t="s">
        <v>1857</v>
      </c>
    </row>
    <row r="241" spans="1:18">
      <c r="A241" t="s">
        <v>495</v>
      </c>
      <c r="H241" t="s">
        <v>1176</v>
      </c>
      <c r="R241" t="s">
        <v>1858</v>
      </c>
    </row>
    <row r="242" spans="1:18">
      <c r="A242" t="s">
        <v>496</v>
      </c>
      <c r="H242" t="s">
        <v>1177</v>
      </c>
      <c r="R242" t="s">
        <v>1859</v>
      </c>
    </row>
    <row r="243" spans="1:18">
      <c r="A243" t="s">
        <v>497</v>
      </c>
      <c r="H243" t="s">
        <v>1178</v>
      </c>
      <c r="R243" t="s">
        <v>1860</v>
      </c>
    </row>
    <row r="244" spans="1:18">
      <c r="A244" t="s">
        <v>498</v>
      </c>
      <c r="H244" t="s">
        <v>1179</v>
      </c>
      <c r="R244" t="s">
        <v>1861</v>
      </c>
    </row>
    <row r="245" spans="1:18">
      <c r="A245" t="s">
        <v>499</v>
      </c>
      <c r="H245" t="s">
        <v>1180</v>
      </c>
      <c r="R245" t="s">
        <v>1862</v>
      </c>
    </row>
    <row r="246" spans="1:18">
      <c r="A246" t="s">
        <v>500</v>
      </c>
      <c r="H246" t="s">
        <v>1181</v>
      </c>
      <c r="R246" t="s">
        <v>1863</v>
      </c>
    </row>
    <row r="247" spans="1:18">
      <c r="A247" t="s">
        <v>501</v>
      </c>
      <c r="H247" t="s">
        <v>1182</v>
      </c>
      <c r="R247" t="s">
        <v>1864</v>
      </c>
    </row>
    <row r="248" spans="1:18">
      <c r="A248" t="s">
        <v>502</v>
      </c>
      <c r="H248" t="s">
        <v>1183</v>
      </c>
      <c r="R248" t="s">
        <v>1865</v>
      </c>
    </row>
    <row r="249" spans="1:18">
      <c r="A249" t="s">
        <v>503</v>
      </c>
      <c r="H249" t="s">
        <v>1184</v>
      </c>
      <c r="R249" t="s">
        <v>1866</v>
      </c>
    </row>
    <row r="250" spans="1:18">
      <c r="A250" t="s">
        <v>504</v>
      </c>
      <c r="H250" t="s">
        <v>1185</v>
      </c>
      <c r="R250" t="s">
        <v>1867</v>
      </c>
    </row>
    <row r="251" spans="1:18">
      <c r="A251" t="s">
        <v>505</v>
      </c>
      <c r="H251" t="s">
        <v>1186</v>
      </c>
      <c r="R251" t="s">
        <v>1868</v>
      </c>
    </row>
    <row r="252" spans="1:18">
      <c r="A252" t="s">
        <v>506</v>
      </c>
      <c r="H252" t="s">
        <v>1187</v>
      </c>
      <c r="R252" t="s">
        <v>1869</v>
      </c>
    </row>
    <row r="253" spans="1:18">
      <c r="A253" t="s">
        <v>507</v>
      </c>
      <c r="H253" t="s">
        <v>1188</v>
      </c>
      <c r="R253" t="s">
        <v>1870</v>
      </c>
    </row>
    <row r="254" spans="1:18">
      <c r="A254" t="s">
        <v>508</v>
      </c>
      <c r="H254" t="s">
        <v>1189</v>
      </c>
      <c r="R254" t="s">
        <v>1871</v>
      </c>
    </row>
    <row r="255" spans="1:18">
      <c r="A255" t="s">
        <v>509</v>
      </c>
      <c r="H255" t="s">
        <v>1190</v>
      </c>
      <c r="R255" t="s">
        <v>1872</v>
      </c>
    </row>
    <row r="256" spans="1:18">
      <c r="A256" t="s">
        <v>510</v>
      </c>
      <c r="H256" t="s">
        <v>1191</v>
      </c>
      <c r="R256" t="s">
        <v>1873</v>
      </c>
    </row>
    <row r="257" spans="1:18">
      <c r="A257" t="s">
        <v>511</v>
      </c>
      <c r="H257" t="s">
        <v>1192</v>
      </c>
      <c r="R257" t="s">
        <v>1874</v>
      </c>
    </row>
    <row r="258" spans="1:18">
      <c r="A258" t="s">
        <v>512</v>
      </c>
      <c r="H258" t="s">
        <v>1193</v>
      </c>
      <c r="R258" t="s">
        <v>1875</v>
      </c>
    </row>
    <row r="259" spans="1:18">
      <c r="A259" t="s">
        <v>513</v>
      </c>
      <c r="H259" t="s">
        <v>1194</v>
      </c>
      <c r="R259" t="s">
        <v>1876</v>
      </c>
    </row>
    <row r="260" spans="1:18">
      <c r="A260" t="s">
        <v>514</v>
      </c>
      <c r="H260" t="s">
        <v>1195</v>
      </c>
      <c r="R260" t="s">
        <v>1877</v>
      </c>
    </row>
    <row r="261" spans="1:18">
      <c r="A261" t="s">
        <v>515</v>
      </c>
      <c r="H261" t="s">
        <v>1196</v>
      </c>
      <c r="R261" t="s">
        <v>1878</v>
      </c>
    </row>
    <row r="262" spans="1:18">
      <c r="A262" t="s">
        <v>516</v>
      </c>
      <c r="H262" t="s">
        <v>1197</v>
      </c>
      <c r="R262" t="s">
        <v>1879</v>
      </c>
    </row>
    <row r="263" spans="1:18">
      <c r="A263" t="s">
        <v>517</v>
      </c>
      <c r="H263" t="s">
        <v>1198</v>
      </c>
      <c r="R263" t="s">
        <v>1880</v>
      </c>
    </row>
    <row r="264" spans="1:18">
      <c r="A264" t="s">
        <v>518</v>
      </c>
      <c r="H264" t="s">
        <v>1199</v>
      </c>
      <c r="R264" t="s">
        <v>1881</v>
      </c>
    </row>
    <row r="265" spans="1:18">
      <c r="A265" t="s">
        <v>519</v>
      </c>
      <c r="H265" t="s">
        <v>1200</v>
      </c>
      <c r="R265" t="s">
        <v>1882</v>
      </c>
    </row>
    <row r="266" spans="1:18">
      <c r="A266" t="s">
        <v>520</v>
      </c>
      <c r="H266" t="s">
        <v>1201</v>
      </c>
      <c r="R266" t="s">
        <v>1883</v>
      </c>
    </row>
    <row r="267" spans="1:18">
      <c r="A267" t="s">
        <v>521</v>
      </c>
      <c r="H267" t="s">
        <v>1202</v>
      </c>
      <c r="R267" t="s">
        <v>1884</v>
      </c>
    </row>
    <row r="268" spans="1:18">
      <c r="A268" t="s">
        <v>522</v>
      </c>
      <c r="H268" t="s">
        <v>1203</v>
      </c>
      <c r="R268" t="s">
        <v>1885</v>
      </c>
    </row>
    <row r="269" spans="1:18">
      <c r="A269" t="s">
        <v>523</v>
      </c>
      <c r="H269" t="s">
        <v>1204</v>
      </c>
      <c r="R269" t="s">
        <v>1886</v>
      </c>
    </row>
    <row r="270" spans="1:18">
      <c r="A270" t="s">
        <v>524</v>
      </c>
      <c r="H270" t="s">
        <v>1205</v>
      </c>
      <c r="R270" t="s">
        <v>1887</v>
      </c>
    </row>
    <row r="271" spans="1:18">
      <c r="A271" t="s">
        <v>525</v>
      </c>
      <c r="H271" t="s">
        <v>1206</v>
      </c>
      <c r="R271" t="s">
        <v>1888</v>
      </c>
    </row>
    <row r="272" spans="1:18">
      <c r="A272" t="s">
        <v>526</v>
      </c>
      <c r="H272" t="s">
        <v>1207</v>
      </c>
      <c r="R272" t="s">
        <v>1889</v>
      </c>
    </row>
    <row r="273" spans="1:18">
      <c r="A273" t="s">
        <v>527</v>
      </c>
      <c r="H273" t="s">
        <v>1208</v>
      </c>
      <c r="R273" t="s">
        <v>1890</v>
      </c>
    </row>
    <row r="274" spans="1:18">
      <c r="A274" t="s">
        <v>528</v>
      </c>
      <c r="H274" t="s">
        <v>1209</v>
      </c>
      <c r="R274" t="s">
        <v>1891</v>
      </c>
    </row>
    <row r="275" spans="1:18">
      <c r="A275" t="s">
        <v>529</v>
      </c>
      <c r="H275" t="s">
        <v>1210</v>
      </c>
      <c r="R275" t="s">
        <v>1892</v>
      </c>
    </row>
    <row r="276" spans="1:18">
      <c r="A276" t="s">
        <v>530</v>
      </c>
      <c r="H276" t="s">
        <v>1211</v>
      </c>
      <c r="R276" t="s">
        <v>1893</v>
      </c>
    </row>
    <row r="277" spans="1:18">
      <c r="A277" t="s">
        <v>531</v>
      </c>
      <c r="H277" t="s">
        <v>1212</v>
      </c>
      <c r="R277" t="s">
        <v>1894</v>
      </c>
    </row>
    <row r="278" spans="1:18">
      <c r="A278" t="s">
        <v>532</v>
      </c>
      <c r="H278" t="s">
        <v>1213</v>
      </c>
      <c r="R278" t="s">
        <v>1895</v>
      </c>
    </row>
    <row r="279" spans="1:18">
      <c r="A279" t="s">
        <v>533</v>
      </c>
      <c r="H279" t="s">
        <v>1214</v>
      </c>
      <c r="R279" t="s">
        <v>1896</v>
      </c>
    </row>
    <row r="280" spans="1:18">
      <c r="A280" t="s">
        <v>534</v>
      </c>
      <c r="H280" t="s">
        <v>1215</v>
      </c>
      <c r="R280" t="s">
        <v>1897</v>
      </c>
    </row>
    <row r="281" spans="1:18">
      <c r="A281" t="s">
        <v>535</v>
      </c>
      <c r="H281" t="s">
        <v>1216</v>
      </c>
      <c r="R281" t="s">
        <v>1898</v>
      </c>
    </row>
    <row r="282" spans="1:18">
      <c r="A282" t="s">
        <v>536</v>
      </c>
      <c r="H282" t="s">
        <v>1217</v>
      </c>
      <c r="R282" t="s">
        <v>1899</v>
      </c>
    </row>
    <row r="283" spans="1:18">
      <c r="A283" t="s">
        <v>537</v>
      </c>
      <c r="H283" t="s">
        <v>1218</v>
      </c>
      <c r="R283" t="s">
        <v>1900</v>
      </c>
    </row>
    <row r="284" spans="1:18">
      <c r="A284" t="s">
        <v>538</v>
      </c>
      <c r="H284" t="s">
        <v>1219</v>
      </c>
      <c r="R284" t="s">
        <v>1901</v>
      </c>
    </row>
    <row r="285" spans="1:18">
      <c r="A285" t="s">
        <v>539</v>
      </c>
      <c r="H285" t="s">
        <v>1220</v>
      </c>
      <c r="R285" t="s">
        <v>1902</v>
      </c>
    </row>
    <row r="286" spans="1:18">
      <c r="A286" t="s">
        <v>540</v>
      </c>
      <c r="H286" t="s">
        <v>1221</v>
      </c>
      <c r="R286" t="s">
        <v>1903</v>
      </c>
    </row>
    <row r="287" spans="1:18">
      <c r="A287" t="s">
        <v>541</v>
      </c>
      <c r="H287" t="s">
        <v>1222</v>
      </c>
      <c r="R287" t="s">
        <v>1904</v>
      </c>
    </row>
    <row r="288" spans="1:18">
      <c r="A288" t="s">
        <v>542</v>
      </c>
      <c r="H288" t="s">
        <v>1223</v>
      </c>
      <c r="R288" t="s">
        <v>1905</v>
      </c>
    </row>
    <row r="289" spans="1:18">
      <c r="A289" t="s">
        <v>543</v>
      </c>
      <c r="H289" t="s">
        <v>1224</v>
      </c>
      <c r="R289" t="s">
        <v>1906</v>
      </c>
    </row>
    <row r="290" spans="1:18">
      <c r="A290" t="s">
        <v>544</v>
      </c>
      <c r="H290" t="s">
        <v>1225</v>
      </c>
      <c r="R290" t="s">
        <v>1907</v>
      </c>
    </row>
    <row r="291" spans="1:18">
      <c r="A291" t="s">
        <v>545</v>
      </c>
      <c r="H291" t="s">
        <v>1226</v>
      </c>
      <c r="R291" t="s">
        <v>1908</v>
      </c>
    </row>
    <row r="292" spans="1:18">
      <c r="A292" t="s">
        <v>546</v>
      </c>
      <c r="H292" t="s">
        <v>1227</v>
      </c>
      <c r="R292" t="s">
        <v>1909</v>
      </c>
    </row>
    <row r="293" spans="1:18">
      <c r="A293" t="s">
        <v>547</v>
      </c>
      <c r="H293" t="s">
        <v>1228</v>
      </c>
      <c r="R293" t="s">
        <v>1910</v>
      </c>
    </row>
    <row r="294" spans="1:18">
      <c r="A294" t="s">
        <v>548</v>
      </c>
      <c r="H294" t="s">
        <v>1229</v>
      </c>
      <c r="R294" t="s">
        <v>1911</v>
      </c>
    </row>
    <row r="295" spans="1:18">
      <c r="A295" t="s">
        <v>549</v>
      </c>
      <c r="H295" t="s">
        <v>1230</v>
      </c>
      <c r="R295" t="s">
        <v>1912</v>
      </c>
    </row>
    <row r="296" spans="1:18">
      <c r="A296" t="s">
        <v>550</v>
      </c>
      <c r="H296" t="s">
        <v>1231</v>
      </c>
      <c r="R296" t="s">
        <v>1913</v>
      </c>
    </row>
    <row r="297" spans="1:18">
      <c r="A297" t="s">
        <v>551</v>
      </c>
      <c r="H297" t="s">
        <v>1232</v>
      </c>
      <c r="R297" t="s">
        <v>1914</v>
      </c>
    </row>
    <row r="298" spans="1:18">
      <c r="A298" t="s">
        <v>552</v>
      </c>
      <c r="H298" t="s">
        <v>1233</v>
      </c>
      <c r="R298" t="s">
        <v>1915</v>
      </c>
    </row>
    <row r="299" spans="1:18">
      <c r="A299" t="s">
        <v>553</v>
      </c>
      <c r="H299" t="s">
        <v>1234</v>
      </c>
      <c r="R299" t="s">
        <v>1916</v>
      </c>
    </row>
    <row r="300" spans="1:18">
      <c r="A300" t="s">
        <v>554</v>
      </c>
      <c r="H300" t="s">
        <v>1235</v>
      </c>
      <c r="R300" t="s">
        <v>1917</v>
      </c>
    </row>
    <row r="301" spans="1:18">
      <c r="A301" t="s">
        <v>555</v>
      </c>
      <c r="H301" t="s">
        <v>1236</v>
      </c>
      <c r="R301" t="s">
        <v>1918</v>
      </c>
    </row>
    <row r="302" spans="1:18">
      <c r="A302" t="s">
        <v>556</v>
      </c>
      <c r="H302" t="s">
        <v>1237</v>
      </c>
      <c r="R302" t="s">
        <v>1919</v>
      </c>
    </row>
    <row r="303" spans="1:18">
      <c r="A303" t="s">
        <v>557</v>
      </c>
      <c r="H303" t="s">
        <v>1238</v>
      </c>
      <c r="R303" t="s">
        <v>1920</v>
      </c>
    </row>
    <row r="304" spans="1:18">
      <c r="A304" t="s">
        <v>558</v>
      </c>
      <c r="H304" t="s">
        <v>1239</v>
      </c>
      <c r="R304" t="s">
        <v>1921</v>
      </c>
    </row>
    <row r="305" spans="1:18">
      <c r="A305" t="s">
        <v>559</v>
      </c>
      <c r="H305" t="s">
        <v>1240</v>
      </c>
      <c r="R305" t="s">
        <v>1922</v>
      </c>
    </row>
    <row r="306" spans="1:18">
      <c r="A306" t="s">
        <v>560</v>
      </c>
      <c r="H306" t="s">
        <v>1241</v>
      </c>
      <c r="R306" t="s">
        <v>1923</v>
      </c>
    </row>
    <row r="307" spans="1:18">
      <c r="A307" t="s">
        <v>561</v>
      </c>
      <c r="H307" t="s">
        <v>1242</v>
      </c>
      <c r="R307" t="s">
        <v>1924</v>
      </c>
    </row>
    <row r="308" spans="1:18">
      <c r="A308" t="s">
        <v>562</v>
      </c>
      <c r="H308" t="s">
        <v>1243</v>
      </c>
      <c r="R308" t="s">
        <v>1925</v>
      </c>
    </row>
    <row r="309" spans="1:18">
      <c r="A309" t="s">
        <v>563</v>
      </c>
      <c r="H309" t="s">
        <v>1244</v>
      </c>
      <c r="R309" t="s">
        <v>1926</v>
      </c>
    </row>
    <row r="310" spans="1:18">
      <c r="A310" t="s">
        <v>564</v>
      </c>
      <c r="H310" t="s">
        <v>1245</v>
      </c>
      <c r="R310" t="s">
        <v>1927</v>
      </c>
    </row>
    <row r="311" spans="1:18">
      <c r="A311" t="s">
        <v>565</v>
      </c>
      <c r="H311" t="s">
        <v>1246</v>
      </c>
      <c r="R311" t="s">
        <v>1928</v>
      </c>
    </row>
    <row r="312" spans="1:18">
      <c r="A312" t="s">
        <v>566</v>
      </c>
      <c r="H312" t="s">
        <v>1247</v>
      </c>
      <c r="R312" t="s">
        <v>1929</v>
      </c>
    </row>
    <row r="313" spans="1:18">
      <c r="A313" t="s">
        <v>567</v>
      </c>
      <c r="H313" t="s">
        <v>1248</v>
      </c>
      <c r="R313" t="s">
        <v>1930</v>
      </c>
    </row>
    <row r="314" spans="1:18">
      <c r="A314" t="s">
        <v>568</v>
      </c>
      <c r="H314" t="s">
        <v>1249</v>
      </c>
      <c r="R314" t="s">
        <v>1931</v>
      </c>
    </row>
    <row r="315" spans="1:18">
      <c r="A315" t="s">
        <v>569</v>
      </c>
      <c r="H315" t="s">
        <v>1250</v>
      </c>
      <c r="R315" t="s">
        <v>1932</v>
      </c>
    </row>
    <row r="316" spans="1:18">
      <c r="A316" t="s">
        <v>570</v>
      </c>
      <c r="H316" t="s">
        <v>1251</v>
      </c>
      <c r="R316" t="s">
        <v>1933</v>
      </c>
    </row>
    <row r="317" spans="1:18">
      <c r="A317" t="s">
        <v>571</v>
      </c>
      <c r="H317" t="s">
        <v>1252</v>
      </c>
      <c r="R317" t="s">
        <v>1934</v>
      </c>
    </row>
    <row r="318" spans="1:18">
      <c r="A318" t="s">
        <v>572</v>
      </c>
      <c r="H318" t="s">
        <v>1253</v>
      </c>
      <c r="R318" t="s">
        <v>1935</v>
      </c>
    </row>
    <row r="319" spans="1:18">
      <c r="A319" t="s">
        <v>573</v>
      </c>
      <c r="H319" t="s">
        <v>1254</v>
      </c>
      <c r="R319" t="s">
        <v>1936</v>
      </c>
    </row>
    <row r="320" spans="1:18">
      <c r="A320" t="s">
        <v>574</v>
      </c>
      <c r="H320" t="s">
        <v>1255</v>
      </c>
      <c r="R320" t="s">
        <v>1937</v>
      </c>
    </row>
    <row r="321" spans="1:18">
      <c r="A321" t="s">
        <v>575</v>
      </c>
      <c r="H321" t="s">
        <v>1256</v>
      </c>
      <c r="R321" t="s">
        <v>1938</v>
      </c>
    </row>
    <row r="322" spans="1:18">
      <c r="A322" t="s">
        <v>576</v>
      </c>
      <c r="H322" t="s">
        <v>1257</v>
      </c>
      <c r="R322" t="s">
        <v>1939</v>
      </c>
    </row>
    <row r="323" spans="1:18">
      <c r="A323" t="s">
        <v>577</v>
      </c>
      <c r="H323" t="s">
        <v>1258</v>
      </c>
      <c r="R323" t="s">
        <v>1940</v>
      </c>
    </row>
    <row r="324" spans="1:18">
      <c r="A324" t="s">
        <v>578</v>
      </c>
      <c r="H324" t="s">
        <v>1259</v>
      </c>
      <c r="R324" t="s">
        <v>1941</v>
      </c>
    </row>
    <row r="325" spans="1:18">
      <c r="A325" t="s">
        <v>579</v>
      </c>
      <c r="H325" t="s">
        <v>1260</v>
      </c>
      <c r="R325" t="s">
        <v>1942</v>
      </c>
    </row>
    <row r="326" spans="1:18">
      <c r="A326" t="s">
        <v>580</v>
      </c>
      <c r="H326" t="s">
        <v>1261</v>
      </c>
      <c r="R326" t="s">
        <v>1943</v>
      </c>
    </row>
    <row r="327" spans="1:18">
      <c r="A327" t="s">
        <v>581</v>
      </c>
      <c r="H327" t="s">
        <v>1262</v>
      </c>
      <c r="R327" t="s">
        <v>1944</v>
      </c>
    </row>
    <row r="328" spans="1:18">
      <c r="A328" t="s">
        <v>582</v>
      </c>
      <c r="H328" t="s">
        <v>1263</v>
      </c>
      <c r="R328" t="s">
        <v>1945</v>
      </c>
    </row>
    <row r="329" spans="1:18">
      <c r="A329" t="s">
        <v>583</v>
      </c>
      <c r="H329" t="s">
        <v>1264</v>
      </c>
      <c r="R329" t="s">
        <v>1946</v>
      </c>
    </row>
    <row r="330" spans="1:18">
      <c r="A330" t="s">
        <v>584</v>
      </c>
      <c r="H330" t="s">
        <v>1265</v>
      </c>
      <c r="R330" t="s">
        <v>1947</v>
      </c>
    </row>
    <row r="331" spans="1:18">
      <c r="A331" t="s">
        <v>585</v>
      </c>
      <c r="H331" t="s">
        <v>1266</v>
      </c>
      <c r="R331" t="s">
        <v>1948</v>
      </c>
    </row>
    <row r="332" spans="1:18">
      <c r="A332" t="s">
        <v>586</v>
      </c>
      <c r="H332" t="s">
        <v>1267</v>
      </c>
      <c r="R332" t="s">
        <v>1949</v>
      </c>
    </row>
    <row r="333" spans="1:18">
      <c r="A333" t="s">
        <v>587</v>
      </c>
      <c r="H333" t="s">
        <v>1268</v>
      </c>
      <c r="R333" t="s">
        <v>1950</v>
      </c>
    </row>
    <row r="334" spans="1:18">
      <c r="A334" t="s">
        <v>588</v>
      </c>
      <c r="H334" t="s">
        <v>1269</v>
      </c>
      <c r="R334" t="s">
        <v>1951</v>
      </c>
    </row>
    <row r="335" spans="1:18">
      <c r="A335" t="s">
        <v>589</v>
      </c>
      <c r="H335" t="s">
        <v>1270</v>
      </c>
      <c r="R335" t="s">
        <v>1952</v>
      </c>
    </row>
    <row r="336" spans="1:18">
      <c r="A336" t="s">
        <v>590</v>
      </c>
      <c r="H336" t="s">
        <v>1271</v>
      </c>
      <c r="R336" t="s">
        <v>1953</v>
      </c>
    </row>
    <row r="337" spans="1:18">
      <c r="A337" t="s">
        <v>591</v>
      </c>
      <c r="H337" t="s">
        <v>1272</v>
      </c>
      <c r="R337" t="s">
        <v>1954</v>
      </c>
    </row>
    <row r="338" spans="1:18">
      <c r="A338" t="s">
        <v>592</v>
      </c>
      <c r="H338" t="s">
        <v>1273</v>
      </c>
      <c r="R338" t="s">
        <v>1955</v>
      </c>
    </row>
    <row r="339" spans="1:18">
      <c r="A339" t="s">
        <v>593</v>
      </c>
      <c r="H339" t="s">
        <v>1274</v>
      </c>
      <c r="R339" t="s">
        <v>1956</v>
      </c>
    </row>
    <row r="340" spans="1:18">
      <c r="A340" t="s">
        <v>594</v>
      </c>
      <c r="H340" t="s">
        <v>1275</v>
      </c>
      <c r="R340" t="s">
        <v>1957</v>
      </c>
    </row>
    <row r="341" spans="1:18">
      <c r="A341" t="s">
        <v>595</v>
      </c>
      <c r="H341" t="s">
        <v>1276</v>
      </c>
      <c r="R341" t="s">
        <v>1958</v>
      </c>
    </row>
    <row r="342" spans="1:18">
      <c r="A342" t="s">
        <v>596</v>
      </c>
      <c r="H342" t="s">
        <v>1277</v>
      </c>
      <c r="R342" t="s">
        <v>1959</v>
      </c>
    </row>
    <row r="343" spans="1:18">
      <c r="A343" t="s">
        <v>597</v>
      </c>
      <c r="H343" t="s">
        <v>1278</v>
      </c>
      <c r="R343" t="s">
        <v>1960</v>
      </c>
    </row>
    <row r="344" spans="1:18">
      <c r="A344" t="s">
        <v>598</v>
      </c>
      <c r="H344" t="s">
        <v>1279</v>
      </c>
      <c r="R344" t="s">
        <v>1961</v>
      </c>
    </row>
    <row r="345" spans="1:18">
      <c r="A345" t="s">
        <v>599</v>
      </c>
      <c r="H345" t="s">
        <v>1280</v>
      </c>
      <c r="R345" t="s">
        <v>1962</v>
      </c>
    </row>
    <row r="346" spans="1:18">
      <c r="A346" t="s">
        <v>600</v>
      </c>
      <c r="H346" t="s">
        <v>1281</v>
      </c>
      <c r="R346" t="s">
        <v>1963</v>
      </c>
    </row>
    <row r="347" spans="1:18">
      <c r="A347" t="s">
        <v>601</v>
      </c>
      <c r="H347" t="s">
        <v>1282</v>
      </c>
      <c r="R347" t="s">
        <v>1964</v>
      </c>
    </row>
    <row r="348" spans="1:18">
      <c r="A348" t="s">
        <v>602</v>
      </c>
      <c r="H348" t="s">
        <v>1283</v>
      </c>
      <c r="R348" t="s">
        <v>1965</v>
      </c>
    </row>
    <row r="349" spans="1:18">
      <c r="A349" t="s">
        <v>603</v>
      </c>
      <c r="H349" t="s">
        <v>1284</v>
      </c>
      <c r="R349" t="s">
        <v>1966</v>
      </c>
    </row>
    <row r="350" spans="1:18">
      <c r="A350" t="s">
        <v>604</v>
      </c>
      <c r="H350" t="s">
        <v>1285</v>
      </c>
      <c r="R350" t="s">
        <v>1967</v>
      </c>
    </row>
    <row r="351" spans="1:18">
      <c r="A351" t="s">
        <v>605</v>
      </c>
      <c r="H351" t="s">
        <v>1286</v>
      </c>
      <c r="R351" t="s">
        <v>1968</v>
      </c>
    </row>
    <row r="352" spans="1:18">
      <c r="A352" t="s">
        <v>606</v>
      </c>
      <c r="H352" t="s">
        <v>1287</v>
      </c>
      <c r="R352" t="s">
        <v>1969</v>
      </c>
    </row>
    <row r="353" spans="1:19">
      <c r="A353" t="s">
        <v>607</v>
      </c>
      <c r="H353" t="s">
        <v>1288</v>
      </c>
      <c r="R353" t="s">
        <v>1970</v>
      </c>
    </row>
    <row r="354" spans="1:19">
      <c r="A354" t="s">
        <v>608</v>
      </c>
      <c r="H354" t="s">
        <v>1289</v>
      </c>
      <c r="R354" t="s">
        <v>1971</v>
      </c>
    </row>
    <row r="355" spans="1:19">
      <c r="A355" t="s">
        <v>609</v>
      </c>
      <c r="H355" t="s">
        <v>1290</v>
      </c>
      <c r="R355" t="s">
        <v>1972</v>
      </c>
    </row>
    <row r="356" spans="1:19">
      <c r="A356" t="s">
        <v>610</v>
      </c>
      <c r="H356" t="s">
        <v>1291</v>
      </c>
      <c r="R356" t="s">
        <v>1973</v>
      </c>
    </row>
    <row r="357" spans="1:19">
      <c r="A357" t="s">
        <v>611</v>
      </c>
      <c r="H357" t="s">
        <v>1292</v>
      </c>
      <c r="R357" t="s">
        <v>1974</v>
      </c>
    </row>
    <row r="358" spans="1:19">
      <c r="A358" t="s">
        <v>612</v>
      </c>
      <c r="H358" t="s">
        <v>1293</v>
      </c>
      <c r="R358" t="s">
        <v>1975</v>
      </c>
    </row>
    <row r="359" spans="1:19">
      <c r="A359" t="s">
        <v>613</v>
      </c>
      <c r="H359" t="s">
        <v>1294</v>
      </c>
      <c r="R359" t="s">
        <v>1976</v>
      </c>
    </row>
    <row r="360" spans="1:19">
      <c r="A360" t="s">
        <v>614</v>
      </c>
      <c r="H360" t="s">
        <v>1295</v>
      </c>
      <c r="R360" t="s">
        <v>1976</v>
      </c>
    </row>
    <row r="361" spans="1:19">
      <c r="A361" t="s">
        <v>615</v>
      </c>
      <c r="H361" t="s">
        <v>1296</v>
      </c>
      <c r="R361" t="s">
        <v>1977</v>
      </c>
    </row>
    <row r="362" spans="1:19">
      <c r="A362" t="s">
        <v>616</v>
      </c>
      <c r="H362" t="s">
        <v>1297</v>
      </c>
      <c r="R362" t="s">
        <v>1978</v>
      </c>
    </row>
    <row r="363" spans="1:19">
      <c r="A363" t="s">
        <v>617</v>
      </c>
      <c r="H363" t="s">
        <v>1298</v>
      </c>
      <c r="R363" t="s">
        <v>1979</v>
      </c>
    </row>
    <row r="364" spans="1:19">
      <c r="A364" t="s">
        <v>618</v>
      </c>
      <c r="H364" t="s">
        <v>1299</v>
      </c>
      <c r="R364" t="s">
        <v>1980</v>
      </c>
      <c r="S364" t="s">
        <v>288</v>
      </c>
    </row>
    <row r="365" spans="1:19">
      <c r="A365" t="s">
        <v>619</v>
      </c>
      <c r="H365" t="s">
        <v>1300</v>
      </c>
      <c r="R365" t="s">
        <v>1981</v>
      </c>
      <c r="S365" t="s">
        <v>290</v>
      </c>
    </row>
    <row r="366" spans="1:19">
      <c r="A366" t="s">
        <v>620</v>
      </c>
      <c r="H366" t="s">
        <v>1301</v>
      </c>
      <c r="R366" t="s">
        <v>1982</v>
      </c>
      <c r="S366" t="s">
        <v>1673</v>
      </c>
    </row>
    <row r="367" spans="1:19">
      <c r="A367" t="s">
        <v>621</v>
      </c>
      <c r="H367" t="s">
        <v>1302</v>
      </c>
      <c r="R367" t="s">
        <v>1983</v>
      </c>
    </row>
    <row r="368" spans="1:19">
      <c r="A368" t="s">
        <v>622</v>
      </c>
      <c r="H368" t="s">
        <v>1303</v>
      </c>
      <c r="R368" t="s">
        <v>1984</v>
      </c>
      <c r="S368" t="s">
        <v>297</v>
      </c>
    </row>
    <row r="369" spans="1:19">
      <c r="A369" t="s">
        <v>623</v>
      </c>
      <c r="H369" t="s">
        <v>1304</v>
      </c>
      <c r="R369" t="s">
        <v>1985</v>
      </c>
      <c r="S369" t="s">
        <v>299</v>
      </c>
    </row>
    <row r="370" spans="1:19">
      <c r="A370" t="s">
        <v>624</v>
      </c>
      <c r="H370" t="s">
        <v>1305</v>
      </c>
      <c r="R370" t="s">
        <v>1986</v>
      </c>
      <c r="S370" t="s">
        <v>301</v>
      </c>
    </row>
    <row r="371" spans="1:19">
      <c r="A371" t="s">
        <v>625</v>
      </c>
      <c r="H371" t="s">
        <v>1306</v>
      </c>
      <c r="R371" t="s">
        <v>1987</v>
      </c>
      <c r="S371" t="s">
        <v>1988</v>
      </c>
    </row>
    <row r="372" spans="1:19">
      <c r="A372" t="s">
        <v>626</v>
      </c>
      <c r="H372" t="s">
        <v>1307</v>
      </c>
      <c r="R372" t="s">
        <v>1989</v>
      </c>
    </row>
    <row r="373" spans="1:19">
      <c r="A373" s="39" t="s">
        <v>627</v>
      </c>
      <c r="B373" s="39"/>
      <c r="C373" s="39"/>
      <c r="H373" t="s">
        <v>1308</v>
      </c>
      <c r="R373" t="s">
        <v>1990</v>
      </c>
      <c r="S373" t="s">
        <v>306</v>
      </c>
    </row>
    <row r="374" spans="1:19">
      <c r="A374" t="s">
        <v>628</v>
      </c>
      <c r="H374" t="s">
        <v>1309</v>
      </c>
      <c r="R374" t="s">
        <v>1991</v>
      </c>
      <c r="S374" t="s">
        <v>308</v>
      </c>
    </row>
    <row r="375" spans="1:19">
      <c r="A375" s="39" t="s">
        <v>629</v>
      </c>
      <c r="B375" s="39"/>
      <c r="C375" s="39"/>
      <c r="H375" t="s">
        <v>1310</v>
      </c>
      <c r="R375" t="s">
        <v>1992</v>
      </c>
      <c r="S375" t="s">
        <v>310</v>
      </c>
    </row>
    <row r="376" spans="1:19">
      <c r="A376" t="s">
        <v>630</v>
      </c>
      <c r="H376" t="s">
        <v>1311</v>
      </c>
      <c r="R376" t="s">
        <v>1993</v>
      </c>
      <c r="S376" t="s">
        <v>312</v>
      </c>
    </row>
    <row r="377" spans="1:19">
      <c r="A377" t="s">
        <v>631</v>
      </c>
      <c r="H377" t="s">
        <v>1312</v>
      </c>
      <c r="R377" t="s">
        <v>1994</v>
      </c>
    </row>
    <row r="378" spans="1:19">
      <c r="A378" t="s">
        <v>632</v>
      </c>
      <c r="H378" t="s">
        <v>1313</v>
      </c>
      <c r="R378" t="s">
        <v>1995</v>
      </c>
      <c r="S378" t="s">
        <v>980</v>
      </c>
    </row>
    <row r="379" spans="1:19">
      <c r="A379" t="s">
        <v>633</v>
      </c>
      <c r="H379" t="s">
        <v>1314</v>
      </c>
      <c r="R379" t="s">
        <v>1996</v>
      </c>
    </row>
    <row r="380" spans="1:19">
      <c r="A380" t="s">
        <v>634</v>
      </c>
      <c r="H380" t="s">
        <v>1315</v>
      </c>
      <c r="R380" t="s">
        <v>1997</v>
      </c>
    </row>
    <row r="381" spans="1:19">
      <c r="A381" t="s">
        <v>635</v>
      </c>
      <c r="H381" t="s">
        <v>1316</v>
      </c>
    </row>
    <row r="382" spans="1:19">
      <c r="A382" t="s">
        <v>636</v>
      </c>
      <c r="H382" t="s">
        <v>1317</v>
      </c>
    </row>
    <row r="383" spans="1:19">
      <c r="A383" t="s">
        <v>637</v>
      </c>
      <c r="H383" t="s">
        <v>1318</v>
      </c>
    </row>
    <row r="384" spans="1:19">
      <c r="A384" t="s">
        <v>638</v>
      </c>
      <c r="H384" t="s">
        <v>1319</v>
      </c>
    </row>
    <row r="385" spans="1:8">
      <c r="A385" t="s">
        <v>639</v>
      </c>
      <c r="H385" t="s">
        <v>1320</v>
      </c>
    </row>
    <row r="386" spans="1:8">
      <c r="A386" t="s">
        <v>640</v>
      </c>
      <c r="H386" t="s">
        <v>1321</v>
      </c>
    </row>
    <row r="387" spans="1:8">
      <c r="A387" t="s">
        <v>641</v>
      </c>
      <c r="H387" t="s">
        <v>1322</v>
      </c>
    </row>
    <row r="388" spans="1:8">
      <c r="A388" t="s">
        <v>642</v>
      </c>
      <c r="H388" t="s">
        <v>1323</v>
      </c>
    </row>
    <row r="389" spans="1:8">
      <c r="A389" t="s">
        <v>643</v>
      </c>
      <c r="H389" t="s">
        <v>1324</v>
      </c>
    </row>
    <row r="390" spans="1:8">
      <c r="A390" t="s">
        <v>644</v>
      </c>
      <c r="H390" t="s">
        <v>1325</v>
      </c>
    </row>
    <row r="391" spans="1:8">
      <c r="A391" t="s">
        <v>645</v>
      </c>
      <c r="H391" t="s">
        <v>1326</v>
      </c>
    </row>
    <row r="392" spans="1:8">
      <c r="A392" t="s">
        <v>646</v>
      </c>
      <c r="H392" t="s">
        <v>1327</v>
      </c>
    </row>
    <row r="393" spans="1:8">
      <c r="A393" t="s">
        <v>647</v>
      </c>
      <c r="H393" t="s">
        <v>1328</v>
      </c>
    </row>
    <row r="394" spans="1:8">
      <c r="A394" t="s">
        <v>648</v>
      </c>
      <c r="H394" t="s">
        <v>1329</v>
      </c>
    </row>
    <row r="395" spans="1:8">
      <c r="A395" t="s">
        <v>649</v>
      </c>
      <c r="H395" t="s">
        <v>1330</v>
      </c>
    </row>
    <row r="396" spans="1:8">
      <c r="A396" t="s">
        <v>650</v>
      </c>
      <c r="H396" t="s">
        <v>1331</v>
      </c>
    </row>
    <row r="397" spans="1:8">
      <c r="A397" t="s">
        <v>651</v>
      </c>
      <c r="H397" t="s">
        <v>1332</v>
      </c>
    </row>
    <row r="398" spans="1:8">
      <c r="A398" t="s">
        <v>652</v>
      </c>
      <c r="H398" t="s">
        <v>1333</v>
      </c>
    </row>
    <row r="399" spans="1:8">
      <c r="A399" t="s">
        <v>653</v>
      </c>
      <c r="H399" t="s">
        <v>1334</v>
      </c>
    </row>
    <row r="400" spans="1:8">
      <c r="A400" t="s">
        <v>654</v>
      </c>
      <c r="H400" t="s">
        <v>1335</v>
      </c>
    </row>
    <row r="401" spans="1:8">
      <c r="A401" t="s">
        <v>655</v>
      </c>
      <c r="H401" t="s">
        <v>1336</v>
      </c>
    </row>
    <row r="402" spans="1:8">
      <c r="A402" t="s">
        <v>656</v>
      </c>
      <c r="H402" t="s">
        <v>1337</v>
      </c>
    </row>
    <row r="403" spans="1:8">
      <c r="A403" t="s">
        <v>657</v>
      </c>
      <c r="H403" t="s">
        <v>1338</v>
      </c>
    </row>
    <row r="404" spans="1:8">
      <c r="A404" t="s">
        <v>658</v>
      </c>
      <c r="H404" t="s">
        <v>1339</v>
      </c>
    </row>
    <row r="405" spans="1:8">
      <c r="A405" t="s">
        <v>659</v>
      </c>
      <c r="H405" t="s">
        <v>1340</v>
      </c>
    </row>
    <row r="406" spans="1:8">
      <c r="A406" t="s">
        <v>660</v>
      </c>
      <c r="H406" t="s">
        <v>1341</v>
      </c>
    </row>
    <row r="407" spans="1:8">
      <c r="A407" t="s">
        <v>661</v>
      </c>
      <c r="H407" t="s">
        <v>1342</v>
      </c>
    </row>
    <row r="408" spans="1:8">
      <c r="A408" t="s">
        <v>662</v>
      </c>
      <c r="H408" t="s">
        <v>1343</v>
      </c>
    </row>
    <row r="409" spans="1:8">
      <c r="A409" t="s">
        <v>663</v>
      </c>
      <c r="H409" t="s">
        <v>1344</v>
      </c>
    </row>
    <row r="410" spans="1:8">
      <c r="A410" t="s">
        <v>664</v>
      </c>
      <c r="H410" t="s">
        <v>1345</v>
      </c>
    </row>
    <row r="411" spans="1:8">
      <c r="A411" t="s">
        <v>665</v>
      </c>
      <c r="H411" t="s">
        <v>1346</v>
      </c>
    </row>
    <row r="412" spans="1:8">
      <c r="A412" t="s">
        <v>666</v>
      </c>
      <c r="H412" t="s">
        <v>1347</v>
      </c>
    </row>
    <row r="413" spans="1:8">
      <c r="A413" t="s">
        <v>667</v>
      </c>
      <c r="H413" t="s">
        <v>1348</v>
      </c>
    </row>
    <row r="414" spans="1:8">
      <c r="A414" t="s">
        <v>668</v>
      </c>
      <c r="H414" t="s">
        <v>1349</v>
      </c>
    </row>
    <row r="415" spans="1:8">
      <c r="A415" t="s">
        <v>669</v>
      </c>
      <c r="H415" t="s">
        <v>1350</v>
      </c>
    </row>
    <row r="416" spans="1:8">
      <c r="A416" t="s">
        <v>670</v>
      </c>
      <c r="H416" t="s">
        <v>1351</v>
      </c>
    </row>
    <row r="417" spans="1:8">
      <c r="A417" t="s">
        <v>671</v>
      </c>
      <c r="H417" t="s">
        <v>1352</v>
      </c>
    </row>
    <row r="418" spans="1:8">
      <c r="A418" t="s">
        <v>672</v>
      </c>
      <c r="H418" t="s">
        <v>1353</v>
      </c>
    </row>
    <row r="419" spans="1:8">
      <c r="A419" t="s">
        <v>673</v>
      </c>
      <c r="H419" t="s">
        <v>1354</v>
      </c>
    </row>
    <row r="420" spans="1:8">
      <c r="A420" t="s">
        <v>674</v>
      </c>
      <c r="H420" t="s">
        <v>1355</v>
      </c>
    </row>
    <row r="421" spans="1:8">
      <c r="A421" t="s">
        <v>675</v>
      </c>
      <c r="H421" t="s">
        <v>1356</v>
      </c>
    </row>
    <row r="422" spans="1:8">
      <c r="A422" t="s">
        <v>676</v>
      </c>
      <c r="H422" t="s">
        <v>1357</v>
      </c>
    </row>
    <row r="423" spans="1:8">
      <c r="A423" t="s">
        <v>677</v>
      </c>
      <c r="H423" t="s">
        <v>1358</v>
      </c>
    </row>
    <row r="424" spans="1:8">
      <c r="A424" t="s">
        <v>678</v>
      </c>
      <c r="H424" t="s">
        <v>1359</v>
      </c>
    </row>
    <row r="425" spans="1:8">
      <c r="A425" t="s">
        <v>679</v>
      </c>
      <c r="H425" t="s">
        <v>1360</v>
      </c>
    </row>
    <row r="426" spans="1:8">
      <c r="A426" t="s">
        <v>680</v>
      </c>
      <c r="H426" t="s">
        <v>1361</v>
      </c>
    </row>
    <row r="427" spans="1:8">
      <c r="A427" t="s">
        <v>681</v>
      </c>
      <c r="H427" t="s">
        <v>1362</v>
      </c>
    </row>
    <row r="428" spans="1:8">
      <c r="A428" t="s">
        <v>682</v>
      </c>
      <c r="H428" t="s">
        <v>1363</v>
      </c>
    </row>
    <row r="429" spans="1:8">
      <c r="A429" t="s">
        <v>683</v>
      </c>
      <c r="H429" t="s">
        <v>1364</v>
      </c>
    </row>
    <row r="430" spans="1:8">
      <c r="A430" t="s">
        <v>684</v>
      </c>
      <c r="H430" t="s">
        <v>1365</v>
      </c>
    </row>
    <row r="431" spans="1:8">
      <c r="A431" t="s">
        <v>685</v>
      </c>
      <c r="H431" t="s">
        <v>1366</v>
      </c>
    </row>
    <row r="432" spans="1:8">
      <c r="A432" t="s">
        <v>686</v>
      </c>
      <c r="H432" t="s">
        <v>1367</v>
      </c>
    </row>
    <row r="433" spans="1:8">
      <c r="A433" t="s">
        <v>687</v>
      </c>
      <c r="H433" t="s">
        <v>1368</v>
      </c>
    </row>
    <row r="434" spans="1:8">
      <c r="A434" t="s">
        <v>688</v>
      </c>
      <c r="H434" t="s">
        <v>1369</v>
      </c>
    </row>
    <row r="435" spans="1:8">
      <c r="A435" t="s">
        <v>689</v>
      </c>
      <c r="H435" t="s">
        <v>1370</v>
      </c>
    </row>
    <row r="436" spans="1:8">
      <c r="A436" t="s">
        <v>690</v>
      </c>
      <c r="H436" t="s">
        <v>1371</v>
      </c>
    </row>
    <row r="437" spans="1:8">
      <c r="A437" t="s">
        <v>691</v>
      </c>
      <c r="H437" t="s">
        <v>1372</v>
      </c>
    </row>
    <row r="438" spans="1:8">
      <c r="A438" t="s">
        <v>692</v>
      </c>
      <c r="H438" t="s">
        <v>1373</v>
      </c>
    </row>
    <row r="439" spans="1:8">
      <c r="A439" t="s">
        <v>693</v>
      </c>
      <c r="H439" t="s">
        <v>1374</v>
      </c>
    </row>
    <row r="440" spans="1:8">
      <c r="A440" t="s">
        <v>694</v>
      </c>
      <c r="H440" t="s">
        <v>1375</v>
      </c>
    </row>
    <row r="441" spans="1:8">
      <c r="A441" t="s">
        <v>695</v>
      </c>
      <c r="H441" t="s">
        <v>1376</v>
      </c>
    </row>
    <row r="442" spans="1:8">
      <c r="A442" t="s">
        <v>696</v>
      </c>
      <c r="H442" t="s">
        <v>1377</v>
      </c>
    </row>
    <row r="443" spans="1:8">
      <c r="A443" t="s">
        <v>697</v>
      </c>
      <c r="H443" t="s">
        <v>1378</v>
      </c>
    </row>
    <row r="444" spans="1:8">
      <c r="A444" t="s">
        <v>698</v>
      </c>
      <c r="H444" t="s">
        <v>1379</v>
      </c>
    </row>
    <row r="445" spans="1:8">
      <c r="A445" t="s">
        <v>699</v>
      </c>
      <c r="H445" t="s">
        <v>1380</v>
      </c>
    </row>
    <row r="446" spans="1:8">
      <c r="A446" t="s">
        <v>700</v>
      </c>
      <c r="H446" t="s">
        <v>1381</v>
      </c>
    </row>
    <row r="447" spans="1:8">
      <c r="A447" t="s">
        <v>701</v>
      </c>
      <c r="H447" t="s">
        <v>1382</v>
      </c>
    </row>
    <row r="448" spans="1:8">
      <c r="A448" t="s">
        <v>702</v>
      </c>
      <c r="H448" t="s">
        <v>1383</v>
      </c>
    </row>
    <row r="449" spans="1:8">
      <c r="A449" t="s">
        <v>703</v>
      </c>
      <c r="H449" t="s">
        <v>1384</v>
      </c>
    </row>
    <row r="450" spans="1:8">
      <c r="A450" t="s">
        <v>704</v>
      </c>
      <c r="H450" t="s">
        <v>1385</v>
      </c>
    </row>
    <row r="451" spans="1:8">
      <c r="A451" t="s">
        <v>705</v>
      </c>
      <c r="H451" t="s">
        <v>1386</v>
      </c>
    </row>
    <row r="452" spans="1:8">
      <c r="A452" t="s">
        <v>706</v>
      </c>
      <c r="H452" t="s">
        <v>1387</v>
      </c>
    </row>
    <row r="453" spans="1:8">
      <c r="A453" t="s">
        <v>707</v>
      </c>
      <c r="H453" t="s">
        <v>1388</v>
      </c>
    </row>
    <row r="454" spans="1:8">
      <c r="A454" t="s">
        <v>708</v>
      </c>
      <c r="H454" t="s">
        <v>1389</v>
      </c>
    </row>
    <row r="455" spans="1:8">
      <c r="A455" t="s">
        <v>709</v>
      </c>
      <c r="H455" t="s">
        <v>1390</v>
      </c>
    </row>
    <row r="456" spans="1:8">
      <c r="A456" t="s">
        <v>710</v>
      </c>
      <c r="H456" t="s">
        <v>1391</v>
      </c>
    </row>
    <row r="457" spans="1:8">
      <c r="A457" t="s">
        <v>711</v>
      </c>
      <c r="H457" t="s">
        <v>1392</v>
      </c>
    </row>
    <row r="458" spans="1:8">
      <c r="A458" t="s">
        <v>712</v>
      </c>
      <c r="H458" t="s">
        <v>1393</v>
      </c>
    </row>
    <row r="459" spans="1:8">
      <c r="A459" t="s">
        <v>713</v>
      </c>
      <c r="H459" t="s">
        <v>1394</v>
      </c>
    </row>
    <row r="460" spans="1:8">
      <c r="A460" t="s">
        <v>714</v>
      </c>
      <c r="H460" t="s">
        <v>1395</v>
      </c>
    </row>
    <row r="461" spans="1:8">
      <c r="A461" t="s">
        <v>715</v>
      </c>
      <c r="H461" t="s">
        <v>1396</v>
      </c>
    </row>
    <row r="462" spans="1:8">
      <c r="A462" t="s">
        <v>716</v>
      </c>
      <c r="H462" t="s">
        <v>1397</v>
      </c>
    </row>
    <row r="463" spans="1:8">
      <c r="A463" t="s">
        <v>717</v>
      </c>
      <c r="H463" t="s">
        <v>1398</v>
      </c>
    </row>
    <row r="464" spans="1:8">
      <c r="A464" t="s">
        <v>718</v>
      </c>
      <c r="H464" t="s">
        <v>1399</v>
      </c>
    </row>
    <row r="465" spans="1:8">
      <c r="A465" t="s">
        <v>719</v>
      </c>
      <c r="H465" t="s">
        <v>1400</v>
      </c>
    </row>
    <row r="466" spans="1:8">
      <c r="A466" t="s">
        <v>720</v>
      </c>
      <c r="H466" t="s">
        <v>1401</v>
      </c>
    </row>
    <row r="467" spans="1:8">
      <c r="A467" t="s">
        <v>721</v>
      </c>
      <c r="H467" t="s">
        <v>1402</v>
      </c>
    </row>
    <row r="468" spans="1:8">
      <c r="A468" t="s">
        <v>722</v>
      </c>
      <c r="H468" t="s">
        <v>1403</v>
      </c>
    </row>
    <row r="469" spans="1:8">
      <c r="A469" t="s">
        <v>723</v>
      </c>
      <c r="H469" t="s">
        <v>1404</v>
      </c>
    </row>
    <row r="470" spans="1:8">
      <c r="A470" t="s">
        <v>724</v>
      </c>
      <c r="H470" t="s">
        <v>1405</v>
      </c>
    </row>
    <row r="471" spans="1:8">
      <c r="A471" t="s">
        <v>725</v>
      </c>
      <c r="H471" t="s">
        <v>1406</v>
      </c>
    </row>
    <row r="472" spans="1:8">
      <c r="A472" t="s">
        <v>726</v>
      </c>
      <c r="H472" t="s">
        <v>1407</v>
      </c>
    </row>
    <row r="473" spans="1:8">
      <c r="A473" t="s">
        <v>727</v>
      </c>
      <c r="H473" t="s">
        <v>1408</v>
      </c>
    </row>
    <row r="474" spans="1:8">
      <c r="A474" t="s">
        <v>728</v>
      </c>
      <c r="H474" t="s">
        <v>1409</v>
      </c>
    </row>
    <row r="475" spans="1:8">
      <c r="A475" t="s">
        <v>729</v>
      </c>
      <c r="H475" t="s">
        <v>1410</v>
      </c>
    </row>
    <row r="476" spans="1:8">
      <c r="A476" t="s">
        <v>730</v>
      </c>
      <c r="H476" t="s">
        <v>1411</v>
      </c>
    </row>
    <row r="477" spans="1:8">
      <c r="A477" t="s">
        <v>731</v>
      </c>
      <c r="H477" t="s">
        <v>1412</v>
      </c>
    </row>
    <row r="478" spans="1:8">
      <c r="A478" t="s">
        <v>732</v>
      </c>
      <c r="H478" t="s">
        <v>1413</v>
      </c>
    </row>
    <row r="479" spans="1:8">
      <c r="A479" t="s">
        <v>733</v>
      </c>
      <c r="H479" t="s">
        <v>1414</v>
      </c>
    </row>
    <row r="480" spans="1:8">
      <c r="A480" t="s">
        <v>734</v>
      </c>
      <c r="H480" t="s">
        <v>1415</v>
      </c>
    </row>
    <row r="481" spans="1:8">
      <c r="A481" t="s">
        <v>735</v>
      </c>
      <c r="H481" t="s">
        <v>1416</v>
      </c>
    </row>
    <row r="482" spans="1:8">
      <c r="A482" t="s">
        <v>736</v>
      </c>
      <c r="H482" t="s">
        <v>1417</v>
      </c>
    </row>
    <row r="483" spans="1:8">
      <c r="A483" t="s">
        <v>737</v>
      </c>
      <c r="H483" t="s">
        <v>1418</v>
      </c>
    </row>
    <row r="484" spans="1:8">
      <c r="A484" t="s">
        <v>738</v>
      </c>
      <c r="H484" t="s">
        <v>1419</v>
      </c>
    </row>
    <row r="485" spans="1:8">
      <c r="A485" t="s">
        <v>739</v>
      </c>
      <c r="H485" t="s">
        <v>1420</v>
      </c>
    </row>
    <row r="486" spans="1:8">
      <c r="A486" t="s">
        <v>740</v>
      </c>
      <c r="H486" t="s">
        <v>1421</v>
      </c>
    </row>
    <row r="487" spans="1:8">
      <c r="A487" t="s">
        <v>741</v>
      </c>
      <c r="H487" t="s">
        <v>1422</v>
      </c>
    </row>
    <row r="488" spans="1:8">
      <c r="A488" t="s">
        <v>742</v>
      </c>
      <c r="H488" t="s">
        <v>1423</v>
      </c>
    </row>
    <row r="489" spans="1:8">
      <c r="A489" t="s">
        <v>743</v>
      </c>
      <c r="H489" t="s">
        <v>1424</v>
      </c>
    </row>
    <row r="490" spans="1:8">
      <c r="A490" t="s">
        <v>744</v>
      </c>
      <c r="H490" t="s">
        <v>1425</v>
      </c>
    </row>
    <row r="491" spans="1:8">
      <c r="A491" t="s">
        <v>745</v>
      </c>
      <c r="H491" t="s">
        <v>1426</v>
      </c>
    </row>
    <row r="492" spans="1:8">
      <c r="A492" t="s">
        <v>746</v>
      </c>
      <c r="H492" t="s">
        <v>1427</v>
      </c>
    </row>
    <row r="493" spans="1:8">
      <c r="A493" t="s">
        <v>747</v>
      </c>
      <c r="H493" t="s">
        <v>1428</v>
      </c>
    </row>
    <row r="494" spans="1:8">
      <c r="A494" t="s">
        <v>748</v>
      </c>
      <c r="H494" t="s">
        <v>1429</v>
      </c>
    </row>
    <row r="495" spans="1:8">
      <c r="A495" t="s">
        <v>749</v>
      </c>
      <c r="H495" t="s">
        <v>1430</v>
      </c>
    </row>
    <row r="496" spans="1:8">
      <c r="A496" t="s">
        <v>750</v>
      </c>
      <c r="H496" t="s">
        <v>1431</v>
      </c>
    </row>
    <row r="497" spans="1:8">
      <c r="A497" t="s">
        <v>751</v>
      </c>
      <c r="H497" t="s">
        <v>1432</v>
      </c>
    </row>
    <row r="498" spans="1:8">
      <c r="A498" t="s">
        <v>752</v>
      </c>
      <c r="H498" t="s">
        <v>1433</v>
      </c>
    </row>
    <row r="499" spans="1:8">
      <c r="A499" t="s">
        <v>753</v>
      </c>
      <c r="H499" t="s">
        <v>1434</v>
      </c>
    </row>
    <row r="500" spans="1:8">
      <c r="A500" t="s">
        <v>754</v>
      </c>
      <c r="H500" t="s">
        <v>1435</v>
      </c>
    </row>
    <row r="501" spans="1:8">
      <c r="A501" t="s">
        <v>755</v>
      </c>
      <c r="H501" t="s">
        <v>1436</v>
      </c>
    </row>
    <row r="502" spans="1:8">
      <c r="A502" t="s">
        <v>756</v>
      </c>
      <c r="H502" t="s">
        <v>1437</v>
      </c>
    </row>
    <row r="503" spans="1:8">
      <c r="A503" t="s">
        <v>757</v>
      </c>
      <c r="H503" t="s">
        <v>1438</v>
      </c>
    </row>
    <row r="504" spans="1:8">
      <c r="A504" t="s">
        <v>758</v>
      </c>
      <c r="H504" t="s">
        <v>1439</v>
      </c>
    </row>
    <row r="505" spans="1:8">
      <c r="A505" t="s">
        <v>759</v>
      </c>
      <c r="H505" t="s">
        <v>1440</v>
      </c>
    </row>
    <row r="506" spans="1:8">
      <c r="A506" t="s">
        <v>760</v>
      </c>
      <c r="H506" t="s">
        <v>1441</v>
      </c>
    </row>
    <row r="507" spans="1:8">
      <c r="A507" t="s">
        <v>761</v>
      </c>
      <c r="H507" t="s">
        <v>1442</v>
      </c>
    </row>
    <row r="508" spans="1:8">
      <c r="A508" t="s">
        <v>762</v>
      </c>
      <c r="H508" t="s">
        <v>1443</v>
      </c>
    </row>
    <row r="509" spans="1:8">
      <c r="A509" t="s">
        <v>763</v>
      </c>
      <c r="H509" t="s">
        <v>1444</v>
      </c>
    </row>
    <row r="510" spans="1:8">
      <c r="A510" t="s">
        <v>764</v>
      </c>
      <c r="H510" t="s">
        <v>1445</v>
      </c>
    </row>
    <row r="511" spans="1:8">
      <c r="A511" t="s">
        <v>765</v>
      </c>
      <c r="H511" t="s">
        <v>1446</v>
      </c>
    </row>
    <row r="512" spans="1:8">
      <c r="A512" t="s">
        <v>766</v>
      </c>
      <c r="H512" t="s">
        <v>1447</v>
      </c>
    </row>
    <row r="513" spans="1:8">
      <c r="A513" t="s">
        <v>767</v>
      </c>
      <c r="H513" t="s">
        <v>1448</v>
      </c>
    </row>
    <row r="514" spans="1:8">
      <c r="A514" t="s">
        <v>768</v>
      </c>
      <c r="H514" t="s">
        <v>1449</v>
      </c>
    </row>
    <row r="515" spans="1:8">
      <c r="A515" t="s">
        <v>769</v>
      </c>
      <c r="H515" t="s">
        <v>1450</v>
      </c>
    </row>
    <row r="516" spans="1:8">
      <c r="A516" t="s">
        <v>770</v>
      </c>
      <c r="H516" t="s">
        <v>1451</v>
      </c>
    </row>
    <row r="517" spans="1:8">
      <c r="A517" t="s">
        <v>771</v>
      </c>
      <c r="H517" t="s">
        <v>1452</v>
      </c>
    </row>
    <row r="518" spans="1:8">
      <c r="A518" t="s">
        <v>772</v>
      </c>
      <c r="H518" t="s">
        <v>1453</v>
      </c>
    </row>
    <row r="519" spans="1:8">
      <c r="A519" t="s">
        <v>773</v>
      </c>
      <c r="H519" t="s">
        <v>1454</v>
      </c>
    </row>
    <row r="520" spans="1:8">
      <c r="A520" t="s">
        <v>774</v>
      </c>
      <c r="H520" t="s">
        <v>1455</v>
      </c>
    </row>
    <row r="521" spans="1:8">
      <c r="A521" t="s">
        <v>775</v>
      </c>
      <c r="H521" t="s">
        <v>1456</v>
      </c>
    </row>
    <row r="522" spans="1:8">
      <c r="A522" t="s">
        <v>776</v>
      </c>
      <c r="H522" t="s">
        <v>1457</v>
      </c>
    </row>
    <row r="523" spans="1:8">
      <c r="A523" t="s">
        <v>777</v>
      </c>
      <c r="H523" t="s">
        <v>1458</v>
      </c>
    </row>
    <row r="524" spans="1:8">
      <c r="A524" t="s">
        <v>778</v>
      </c>
      <c r="H524" t="s">
        <v>1459</v>
      </c>
    </row>
    <row r="525" spans="1:8">
      <c r="A525" t="s">
        <v>779</v>
      </c>
      <c r="H525" t="s">
        <v>1460</v>
      </c>
    </row>
    <row r="526" spans="1:8">
      <c r="A526" t="s">
        <v>780</v>
      </c>
      <c r="H526" t="s">
        <v>1461</v>
      </c>
    </row>
    <row r="527" spans="1:8">
      <c r="A527" t="s">
        <v>781</v>
      </c>
      <c r="H527" t="s">
        <v>1462</v>
      </c>
    </row>
    <row r="528" spans="1:8">
      <c r="A528" t="s">
        <v>782</v>
      </c>
      <c r="H528" t="s">
        <v>1463</v>
      </c>
    </row>
    <row r="529" spans="1:8">
      <c r="A529" t="s">
        <v>783</v>
      </c>
      <c r="H529" t="s">
        <v>1464</v>
      </c>
    </row>
    <row r="530" spans="1:8">
      <c r="A530" t="s">
        <v>784</v>
      </c>
      <c r="H530" t="s">
        <v>1465</v>
      </c>
    </row>
    <row r="531" spans="1:8">
      <c r="A531" t="s">
        <v>785</v>
      </c>
      <c r="H531" t="s">
        <v>1466</v>
      </c>
    </row>
    <row r="532" spans="1:8">
      <c r="A532" t="s">
        <v>786</v>
      </c>
      <c r="H532" t="s">
        <v>1467</v>
      </c>
    </row>
    <row r="533" spans="1:8">
      <c r="A533" t="s">
        <v>787</v>
      </c>
      <c r="H533" t="s">
        <v>1468</v>
      </c>
    </row>
    <row r="534" spans="1:8">
      <c r="A534" t="s">
        <v>788</v>
      </c>
      <c r="H534" t="s">
        <v>1469</v>
      </c>
    </row>
    <row r="535" spans="1:8">
      <c r="A535" t="s">
        <v>789</v>
      </c>
      <c r="H535" t="s">
        <v>1470</v>
      </c>
    </row>
    <row r="536" spans="1:8">
      <c r="A536" t="s">
        <v>790</v>
      </c>
      <c r="H536" t="s">
        <v>1471</v>
      </c>
    </row>
    <row r="537" spans="1:8">
      <c r="A537" t="s">
        <v>791</v>
      </c>
      <c r="H537" t="s">
        <v>1472</v>
      </c>
    </row>
    <row r="538" spans="1:8">
      <c r="A538" t="s">
        <v>792</v>
      </c>
      <c r="H538" t="s">
        <v>1473</v>
      </c>
    </row>
    <row r="539" spans="1:8">
      <c r="A539" t="s">
        <v>793</v>
      </c>
      <c r="H539" t="s">
        <v>1474</v>
      </c>
    </row>
    <row r="540" spans="1:8">
      <c r="A540" t="s">
        <v>794</v>
      </c>
      <c r="H540" t="s">
        <v>1475</v>
      </c>
    </row>
    <row r="541" spans="1:8">
      <c r="A541" t="s">
        <v>795</v>
      </c>
      <c r="H541" t="s">
        <v>1476</v>
      </c>
    </row>
    <row r="542" spans="1:8">
      <c r="A542" t="s">
        <v>796</v>
      </c>
      <c r="H542" t="s">
        <v>1477</v>
      </c>
    </row>
    <row r="543" spans="1:8">
      <c r="A543" t="s">
        <v>797</v>
      </c>
      <c r="H543" t="s">
        <v>1478</v>
      </c>
    </row>
    <row r="544" spans="1:8">
      <c r="A544" t="s">
        <v>798</v>
      </c>
      <c r="H544" t="s">
        <v>1479</v>
      </c>
    </row>
    <row r="545" spans="1:8">
      <c r="A545" t="s">
        <v>799</v>
      </c>
      <c r="H545" t="s">
        <v>1480</v>
      </c>
    </row>
    <row r="546" spans="1:8">
      <c r="A546" t="s">
        <v>800</v>
      </c>
      <c r="H546" t="s">
        <v>1481</v>
      </c>
    </row>
    <row r="547" spans="1:8">
      <c r="A547" t="s">
        <v>801</v>
      </c>
      <c r="H547" t="s">
        <v>1482</v>
      </c>
    </row>
    <row r="548" spans="1:8">
      <c r="A548" t="s">
        <v>802</v>
      </c>
      <c r="H548" t="s">
        <v>1483</v>
      </c>
    </row>
    <row r="549" spans="1:8">
      <c r="A549" t="s">
        <v>803</v>
      </c>
      <c r="H549" t="s">
        <v>1484</v>
      </c>
    </row>
    <row r="550" spans="1:8">
      <c r="A550" t="s">
        <v>804</v>
      </c>
      <c r="H550" t="s">
        <v>1485</v>
      </c>
    </row>
    <row r="551" spans="1:8">
      <c r="A551" t="s">
        <v>805</v>
      </c>
      <c r="H551" t="s">
        <v>1486</v>
      </c>
    </row>
    <row r="552" spans="1:8">
      <c r="A552" t="s">
        <v>806</v>
      </c>
      <c r="H552" t="s">
        <v>1487</v>
      </c>
    </row>
    <row r="553" spans="1:8">
      <c r="A553" t="s">
        <v>807</v>
      </c>
      <c r="H553" t="s">
        <v>1488</v>
      </c>
    </row>
    <row r="554" spans="1:8">
      <c r="A554" t="s">
        <v>808</v>
      </c>
      <c r="H554" t="s">
        <v>1489</v>
      </c>
    </row>
    <row r="555" spans="1:8">
      <c r="A555" t="s">
        <v>809</v>
      </c>
      <c r="H555" t="s">
        <v>1490</v>
      </c>
    </row>
    <row r="556" spans="1:8">
      <c r="A556" t="s">
        <v>810</v>
      </c>
      <c r="H556" t="s">
        <v>1491</v>
      </c>
    </row>
    <row r="557" spans="1:8">
      <c r="A557" t="s">
        <v>811</v>
      </c>
      <c r="H557" t="s">
        <v>1492</v>
      </c>
    </row>
    <row r="558" spans="1:8">
      <c r="A558" t="s">
        <v>812</v>
      </c>
      <c r="H558" t="s">
        <v>1493</v>
      </c>
    </row>
    <row r="559" spans="1:8">
      <c r="A559" t="s">
        <v>813</v>
      </c>
      <c r="H559" t="s">
        <v>1494</v>
      </c>
    </row>
    <row r="560" spans="1:8">
      <c r="A560" t="s">
        <v>814</v>
      </c>
      <c r="H560" t="s">
        <v>1495</v>
      </c>
    </row>
    <row r="561" spans="1:8">
      <c r="A561" t="s">
        <v>815</v>
      </c>
      <c r="H561" t="s">
        <v>1496</v>
      </c>
    </row>
    <row r="562" spans="1:8">
      <c r="A562" t="s">
        <v>816</v>
      </c>
      <c r="H562" t="s">
        <v>1497</v>
      </c>
    </row>
    <row r="563" spans="1:8">
      <c r="A563" t="s">
        <v>817</v>
      </c>
      <c r="H563" t="s">
        <v>1498</v>
      </c>
    </row>
    <row r="564" spans="1:8">
      <c r="A564" t="s">
        <v>818</v>
      </c>
      <c r="H564" t="s">
        <v>1499</v>
      </c>
    </row>
    <row r="565" spans="1:8">
      <c r="A565" t="s">
        <v>819</v>
      </c>
      <c r="H565" t="s">
        <v>1500</v>
      </c>
    </row>
    <row r="566" spans="1:8">
      <c r="A566" t="s">
        <v>820</v>
      </c>
      <c r="H566" t="s">
        <v>1501</v>
      </c>
    </row>
    <row r="567" spans="1:8">
      <c r="A567" t="s">
        <v>821</v>
      </c>
      <c r="H567" t="s">
        <v>1502</v>
      </c>
    </row>
    <row r="568" spans="1:8">
      <c r="A568" t="s">
        <v>822</v>
      </c>
      <c r="H568" t="s">
        <v>1503</v>
      </c>
    </row>
    <row r="569" spans="1:8">
      <c r="A569" t="s">
        <v>823</v>
      </c>
      <c r="H569" t="s">
        <v>1504</v>
      </c>
    </row>
    <row r="570" spans="1:8">
      <c r="A570" t="s">
        <v>824</v>
      </c>
      <c r="H570" t="s">
        <v>1505</v>
      </c>
    </row>
    <row r="571" spans="1:8">
      <c r="A571" t="s">
        <v>825</v>
      </c>
      <c r="H571" t="s">
        <v>1506</v>
      </c>
    </row>
    <row r="572" spans="1:8">
      <c r="A572" t="s">
        <v>826</v>
      </c>
      <c r="H572" t="s">
        <v>1507</v>
      </c>
    </row>
    <row r="573" spans="1:8">
      <c r="A573" t="s">
        <v>827</v>
      </c>
      <c r="H573" t="s">
        <v>1508</v>
      </c>
    </row>
    <row r="574" spans="1:8">
      <c r="A574" t="s">
        <v>828</v>
      </c>
      <c r="H574" t="s">
        <v>1509</v>
      </c>
    </row>
    <row r="575" spans="1:8">
      <c r="A575" t="s">
        <v>829</v>
      </c>
      <c r="H575" t="s">
        <v>1510</v>
      </c>
    </row>
    <row r="576" spans="1:8">
      <c r="A576" t="s">
        <v>830</v>
      </c>
      <c r="H576" t="s">
        <v>1511</v>
      </c>
    </row>
    <row r="577" spans="1:8">
      <c r="A577" t="s">
        <v>831</v>
      </c>
      <c r="H577" t="s">
        <v>1512</v>
      </c>
    </row>
    <row r="578" spans="1:8">
      <c r="A578" t="s">
        <v>832</v>
      </c>
      <c r="H578" t="s">
        <v>1513</v>
      </c>
    </row>
    <row r="579" spans="1:8">
      <c r="A579" t="s">
        <v>833</v>
      </c>
      <c r="H579" t="s">
        <v>1514</v>
      </c>
    </row>
    <row r="580" spans="1:8">
      <c r="A580" t="s">
        <v>834</v>
      </c>
      <c r="H580" t="s">
        <v>1515</v>
      </c>
    </row>
    <row r="581" spans="1:8">
      <c r="A581" t="s">
        <v>835</v>
      </c>
      <c r="H581" t="s">
        <v>1516</v>
      </c>
    </row>
    <row r="582" spans="1:8">
      <c r="A582" t="s">
        <v>836</v>
      </c>
      <c r="H582" t="s">
        <v>1517</v>
      </c>
    </row>
    <row r="583" spans="1:8">
      <c r="A583" t="s">
        <v>837</v>
      </c>
      <c r="H583" t="s">
        <v>1518</v>
      </c>
    </row>
    <row r="584" spans="1:8">
      <c r="A584" t="s">
        <v>838</v>
      </c>
      <c r="H584" t="s">
        <v>1519</v>
      </c>
    </row>
    <row r="585" spans="1:8">
      <c r="A585" t="s">
        <v>839</v>
      </c>
      <c r="H585" t="s">
        <v>1520</v>
      </c>
    </row>
    <row r="586" spans="1:8">
      <c r="A586" t="s">
        <v>840</v>
      </c>
      <c r="H586" t="s">
        <v>1521</v>
      </c>
    </row>
    <row r="587" spans="1:8">
      <c r="A587" t="s">
        <v>841</v>
      </c>
      <c r="H587" t="s">
        <v>1522</v>
      </c>
    </row>
    <row r="588" spans="1:8">
      <c r="A588" t="s">
        <v>842</v>
      </c>
      <c r="H588" t="s">
        <v>1523</v>
      </c>
    </row>
    <row r="589" spans="1:8">
      <c r="A589" t="s">
        <v>843</v>
      </c>
      <c r="H589" t="s">
        <v>1524</v>
      </c>
    </row>
    <row r="590" spans="1:8">
      <c r="A590" t="s">
        <v>844</v>
      </c>
      <c r="H590" t="s">
        <v>1525</v>
      </c>
    </row>
    <row r="591" spans="1:8">
      <c r="A591" t="s">
        <v>845</v>
      </c>
      <c r="H591" t="s">
        <v>1526</v>
      </c>
    </row>
    <row r="592" spans="1:8">
      <c r="A592" t="s">
        <v>846</v>
      </c>
      <c r="H592" t="s">
        <v>1527</v>
      </c>
    </row>
    <row r="593" spans="1:8">
      <c r="A593" t="s">
        <v>847</v>
      </c>
      <c r="H593" t="s">
        <v>1528</v>
      </c>
    </row>
    <row r="594" spans="1:8">
      <c r="A594" t="s">
        <v>848</v>
      </c>
      <c r="H594" t="s">
        <v>1529</v>
      </c>
    </row>
    <row r="595" spans="1:8">
      <c r="A595" t="s">
        <v>849</v>
      </c>
      <c r="H595" t="s">
        <v>1530</v>
      </c>
    </row>
    <row r="596" spans="1:8">
      <c r="A596" t="s">
        <v>850</v>
      </c>
      <c r="H596" t="s">
        <v>1531</v>
      </c>
    </row>
    <row r="597" spans="1:8">
      <c r="A597" t="s">
        <v>851</v>
      </c>
      <c r="H597" t="s">
        <v>1532</v>
      </c>
    </row>
    <row r="598" spans="1:8">
      <c r="A598" t="s">
        <v>852</v>
      </c>
      <c r="H598" t="s">
        <v>1533</v>
      </c>
    </row>
    <row r="599" spans="1:8">
      <c r="A599" t="s">
        <v>853</v>
      </c>
      <c r="H599" t="s">
        <v>1534</v>
      </c>
    </row>
    <row r="600" spans="1:8">
      <c r="A600" t="s">
        <v>854</v>
      </c>
      <c r="H600" t="s">
        <v>1535</v>
      </c>
    </row>
    <row r="601" spans="1:8">
      <c r="A601" t="s">
        <v>855</v>
      </c>
      <c r="H601" t="s">
        <v>1536</v>
      </c>
    </row>
    <row r="602" spans="1:8">
      <c r="A602" t="s">
        <v>856</v>
      </c>
      <c r="H602" t="s">
        <v>1537</v>
      </c>
    </row>
    <row r="603" spans="1:8">
      <c r="A603" t="s">
        <v>857</v>
      </c>
      <c r="H603" t="s">
        <v>1538</v>
      </c>
    </row>
    <row r="604" spans="1:8">
      <c r="A604" t="s">
        <v>858</v>
      </c>
      <c r="H604" t="s">
        <v>1539</v>
      </c>
    </row>
    <row r="605" spans="1:8">
      <c r="A605" t="s">
        <v>859</v>
      </c>
      <c r="H605" t="s">
        <v>1540</v>
      </c>
    </row>
    <row r="606" spans="1:8">
      <c r="A606" t="s">
        <v>860</v>
      </c>
      <c r="H606" t="s">
        <v>1541</v>
      </c>
    </row>
    <row r="607" spans="1:8">
      <c r="A607" t="s">
        <v>861</v>
      </c>
      <c r="H607" t="s">
        <v>1542</v>
      </c>
    </row>
    <row r="608" spans="1:8">
      <c r="A608" t="s">
        <v>862</v>
      </c>
      <c r="H608" t="s">
        <v>1543</v>
      </c>
    </row>
    <row r="609" spans="1:8">
      <c r="A609" t="s">
        <v>863</v>
      </c>
      <c r="H609" t="s">
        <v>1544</v>
      </c>
    </row>
    <row r="610" spans="1:8">
      <c r="A610" t="s">
        <v>864</v>
      </c>
      <c r="H610" t="s">
        <v>1545</v>
      </c>
    </row>
    <row r="611" spans="1:8">
      <c r="A611" t="s">
        <v>865</v>
      </c>
      <c r="H611" t="s">
        <v>1546</v>
      </c>
    </row>
    <row r="612" spans="1:8">
      <c r="A612" t="s">
        <v>866</v>
      </c>
      <c r="H612" t="s">
        <v>1547</v>
      </c>
    </row>
    <row r="613" spans="1:8">
      <c r="A613" t="s">
        <v>867</v>
      </c>
      <c r="H613" t="s">
        <v>1548</v>
      </c>
    </row>
    <row r="614" spans="1:8">
      <c r="A614" t="s">
        <v>868</v>
      </c>
      <c r="H614" t="s">
        <v>1549</v>
      </c>
    </row>
    <row r="615" spans="1:8">
      <c r="A615" t="s">
        <v>869</v>
      </c>
      <c r="H615" t="s">
        <v>1550</v>
      </c>
    </row>
    <row r="616" spans="1:8">
      <c r="A616" t="s">
        <v>870</v>
      </c>
      <c r="H616" t="s">
        <v>1551</v>
      </c>
    </row>
    <row r="617" spans="1:8">
      <c r="A617" t="s">
        <v>871</v>
      </c>
      <c r="H617" t="s">
        <v>1552</v>
      </c>
    </row>
    <row r="618" spans="1:8">
      <c r="A618" t="s">
        <v>872</v>
      </c>
      <c r="H618" t="s">
        <v>1553</v>
      </c>
    </row>
    <row r="619" spans="1:8">
      <c r="A619" t="s">
        <v>873</v>
      </c>
      <c r="H619" t="s">
        <v>1554</v>
      </c>
    </row>
    <row r="620" spans="1:8">
      <c r="A620" t="s">
        <v>874</v>
      </c>
      <c r="H620" t="s">
        <v>1555</v>
      </c>
    </row>
    <row r="621" spans="1:8">
      <c r="A621" t="s">
        <v>875</v>
      </c>
      <c r="H621" t="s">
        <v>1556</v>
      </c>
    </row>
    <row r="622" spans="1:8">
      <c r="A622" t="s">
        <v>876</v>
      </c>
      <c r="H622" t="s">
        <v>1557</v>
      </c>
    </row>
    <row r="623" spans="1:8">
      <c r="A623" t="s">
        <v>877</v>
      </c>
      <c r="H623" t="s">
        <v>1558</v>
      </c>
    </row>
    <row r="624" spans="1:8">
      <c r="A624" t="s">
        <v>878</v>
      </c>
      <c r="H624" t="s">
        <v>1559</v>
      </c>
    </row>
    <row r="625" spans="1:8">
      <c r="A625" t="s">
        <v>879</v>
      </c>
      <c r="H625" t="s">
        <v>1560</v>
      </c>
    </row>
    <row r="626" spans="1:8">
      <c r="A626" t="s">
        <v>880</v>
      </c>
      <c r="H626" t="s">
        <v>1561</v>
      </c>
    </row>
    <row r="627" spans="1:8">
      <c r="A627" t="s">
        <v>881</v>
      </c>
      <c r="H627" t="s">
        <v>1562</v>
      </c>
    </row>
    <row r="628" spans="1:8">
      <c r="A628" t="s">
        <v>882</v>
      </c>
      <c r="H628" t="s">
        <v>1563</v>
      </c>
    </row>
    <row r="629" spans="1:8">
      <c r="A629" t="s">
        <v>883</v>
      </c>
      <c r="H629" t="s">
        <v>1564</v>
      </c>
    </row>
    <row r="630" spans="1:8">
      <c r="A630" t="s">
        <v>884</v>
      </c>
      <c r="H630" t="s">
        <v>1565</v>
      </c>
    </row>
    <row r="631" spans="1:8">
      <c r="A631" t="s">
        <v>885</v>
      </c>
      <c r="H631" t="s">
        <v>1566</v>
      </c>
    </row>
    <row r="632" spans="1:8">
      <c r="A632" t="s">
        <v>886</v>
      </c>
      <c r="H632" t="s">
        <v>1567</v>
      </c>
    </row>
    <row r="633" spans="1:8">
      <c r="A633" t="s">
        <v>887</v>
      </c>
      <c r="H633" t="s">
        <v>1568</v>
      </c>
    </row>
    <row r="634" spans="1:8">
      <c r="A634" t="s">
        <v>888</v>
      </c>
      <c r="H634" t="s">
        <v>1569</v>
      </c>
    </row>
    <row r="635" spans="1:8">
      <c r="A635" t="s">
        <v>889</v>
      </c>
      <c r="H635" t="s">
        <v>1570</v>
      </c>
    </row>
    <row r="636" spans="1:8">
      <c r="A636" t="s">
        <v>890</v>
      </c>
      <c r="H636" t="s">
        <v>1571</v>
      </c>
    </row>
    <row r="637" spans="1:8">
      <c r="A637" t="s">
        <v>891</v>
      </c>
      <c r="H637" t="s">
        <v>1572</v>
      </c>
    </row>
    <row r="638" spans="1:8">
      <c r="A638" t="s">
        <v>892</v>
      </c>
      <c r="H638" t="s">
        <v>1573</v>
      </c>
    </row>
    <row r="639" spans="1:8">
      <c r="A639" t="s">
        <v>893</v>
      </c>
      <c r="H639" t="s">
        <v>1574</v>
      </c>
    </row>
    <row r="640" spans="1:8">
      <c r="A640" t="s">
        <v>894</v>
      </c>
      <c r="H640" t="s">
        <v>1575</v>
      </c>
    </row>
    <row r="641" spans="1:8">
      <c r="A641" t="s">
        <v>895</v>
      </c>
      <c r="H641" t="s">
        <v>1576</v>
      </c>
    </row>
    <row r="642" spans="1:8">
      <c r="A642" t="s">
        <v>896</v>
      </c>
      <c r="H642" t="s">
        <v>1577</v>
      </c>
    </row>
    <row r="643" spans="1:8">
      <c r="A643" t="s">
        <v>897</v>
      </c>
      <c r="H643" t="s">
        <v>1578</v>
      </c>
    </row>
    <row r="644" spans="1:8">
      <c r="A644" t="s">
        <v>898</v>
      </c>
      <c r="H644" t="s">
        <v>1579</v>
      </c>
    </row>
    <row r="645" spans="1:8">
      <c r="A645" t="s">
        <v>899</v>
      </c>
      <c r="H645" t="s">
        <v>1580</v>
      </c>
    </row>
    <row r="646" spans="1:8">
      <c r="A646" t="s">
        <v>900</v>
      </c>
      <c r="H646" t="s">
        <v>1581</v>
      </c>
    </row>
    <row r="647" spans="1:8">
      <c r="A647" t="s">
        <v>901</v>
      </c>
      <c r="H647" t="s">
        <v>1582</v>
      </c>
    </row>
    <row r="648" spans="1:8">
      <c r="A648" t="s">
        <v>902</v>
      </c>
      <c r="H648" t="s">
        <v>1583</v>
      </c>
    </row>
    <row r="649" spans="1:8">
      <c r="A649" t="s">
        <v>903</v>
      </c>
      <c r="H649" t="s">
        <v>1584</v>
      </c>
    </row>
    <row r="650" spans="1:8">
      <c r="A650" t="s">
        <v>904</v>
      </c>
      <c r="H650" t="s">
        <v>1585</v>
      </c>
    </row>
    <row r="651" spans="1:8">
      <c r="A651" t="s">
        <v>905</v>
      </c>
      <c r="H651" t="s">
        <v>1586</v>
      </c>
    </row>
    <row r="652" spans="1:8">
      <c r="A652" t="s">
        <v>906</v>
      </c>
      <c r="H652" t="s">
        <v>1587</v>
      </c>
    </row>
    <row r="653" spans="1:8">
      <c r="A653" t="s">
        <v>907</v>
      </c>
      <c r="H653" t="s">
        <v>1588</v>
      </c>
    </row>
    <row r="654" spans="1:8">
      <c r="A654" t="s">
        <v>908</v>
      </c>
      <c r="H654" t="s">
        <v>1589</v>
      </c>
    </row>
    <row r="655" spans="1:8">
      <c r="A655" t="s">
        <v>909</v>
      </c>
      <c r="H655" t="s">
        <v>1590</v>
      </c>
    </row>
    <row r="656" spans="1:8">
      <c r="A656" t="s">
        <v>910</v>
      </c>
      <c r="H656" t="s">
        <v>1591</v>
      </c>
    </row>
    <row r="657" spans="1:8">
      <c r="A657" t="s">
        <v>911</v>
      </c>
      <c r="H657" t="s">
        <v>1592</v>
      </c>
    </row>
    <row r="658" spans="1:8">
      <c r="A658" t="s">
        <v>912</v>
      </c>
      <c r="H658" t="s">
        <v>1593</v>
      </c>
    </row>
    <row r="659" spans="1:8">
      <c r="A659" t="s">
        <v>913</v>
      </c>
      <c r="H659" t="s">
        <v>1594</v>
      </c>
    </row>
    <row r="660" spans="1:8">
      <c r="A660" t="s">
        <v>914</v>
      </c>
      <c r="H660" t="s">
        <v>1595</v>
      </c>
    </row>
    <row r="661" spans="1:8">
      <c r="A661" t="s">
        <v>915</v>
      </c>
      <c r="H661" t="s">
        <v>1596</v>
      </c>
    </row>
    <row r="662" spans="1:8">
      <c r="A662" t="s">
        <v>916</v>
      </c>
      <c r="H662" t="s">
        <v>1597</v>
      </c>
    </row>
    <row r="663" spans="1:8">
      <c r="A663" t="s">
        <v>917</v>
      </c>
      <c r="H663" t="s">
        <v>1598</v>
      </c>
    </row>
    <row r="664" spans="1:8">
      <c r="A664" t="s">
        <v>918</v>
      </c>
      <c r="H664" t="s">
        <v>1599</v>
      </c>
    </row>
    <row r="665" spans="1:8">
      <c r="A665" t="s">
        <v>919</v>
      </c>
      <c r="H665" t="s">
        <v>1600</v>
      </c>
    </row>
    <row r="666" spans="1:8">
      <c r="A666" t="s">
        <v>920</v>
      </c>
      <c r="H666" t="s">
        <v>1601</v>
      </c>
    </row>
    <row r="667" spans="1:8">
      <c r="A667" t="s">
        <v>921</v>
      </c>
      <c r="H667" t="s">
        <v>1602</v>
      </c>
    </row>
    <row r="668" spans="1:8">
      <c r="A668" t="s">
        <v>922</v>
      </c>
      <c r="H668" t="s">
        <v>1603</v>
      </c>
    </row>
    <row r="669" spans="1:8">
      <c r="A669" t="s">
        <v>923</v>
      </c>
      <c r="H669" t="s">
        <v>1604</v>
      </c>
    </row>
    <row r="670" spans="1:8">
      <c r="A670" t="s">
        <v>924</v>
      </c>
      <c r="H670" t="s">
        <v>1605</v>
      </c>
    </row>
    <row r="671" spans="1:8">
      <c r="A671" t="s">
        <v>925</v>
      </c>
      <c r="H671" t="s">
        <v>1606</v>
      </c>
    </row>
    <row r="672" spans="1:8">
      <c r="A672" t="s">
        <v>926</v>
      </c>
      <c r="H672" t="s">
        <v>1607</v>
      </c>
    </row>
    <row r="673" spans="1:8">
      <c r="A673" t="s">
        <v>927</v>
      </c>
      <c r="H673" t="s">
        <v>1608</v>
      </c>
    </row>
    <row r="674" spans="1:8">
      <c r="A674" t="s">
        <v>928</v>
      </c>
      <c r="H674" t="s">
        <v>1609</v>
      </c>
    </row>
    <row r="675" spans="1:8">
      <c r="A675" t="s">
        <v>929</v>
      </c>
      <c r="H675" t="s">
        <v>1610</v>
      </c>
    </row>
    <row r="676" spans="1:8">
      <c r="A676" t="s">
        <v>930</v>
      </c>
      <c r="H676" t="s">
        <v>1611</v>
      </c>
    </row>
    <row r="677" spans="1:8">
      <c r="A677" t="s">
        <v>931</v>
      </c>
      <c r="H677" t="s">
        <v>1612</v>
      </c>
    </row>
    <row r="678" spans="1:8">
      <c r="A678" t="s">
        <v>932</v>
      </c>
      <c r="H678" t="s">
        <v>1613</v>
      </c>
    </row>
    <row r="679" spans="1:8">
      <c r="A679" t="s">
        <v>933</v>
      </c>
      <c r="H679" t="s">
        <v>1614</v>
      </c>
    </row>
    <row r="680" spans="1:8">
      <c r="A680" t="s">
        <v>934</v>
      </c>
      <c r="H680" t="s">
        <v>1615</v>
      </c>
    </row>
    <row r="681" spans="1:8">
      <c r="A681" t="s">
        <v>935</v>
      </c>
      <c r="H681" t="s">
        <v>1616</v>
      </c>
    </row>
    <row r="682" spans="1:8">
      <c r="A682" t="s">
        <v>936</v>
      </c>
      <c r="H682" t="s">
        <v>1617</v>
      </c>
    </row>
    <row r="683" spans="1:8">
      <c r="A683" t="s">
        <v>937</v>
      </c>
      <c r="H683" t="s">
        <v>1618</v>
      </c>
    </row>
    <row r="684" spans="1:8">
      <c r="A684" t="s">
        <v>938</v>
      </c>
      <c r="H684" t="s">
        <v>1619</v>
      </c>
    </row>
    <row r="685" spans="1:8">
      <c r="A685" t="s">
        <v>939</v>
      </c>
      <c r="H685" t="s">
        <v>1620</v>
      </c>
    </row>
    <row r="686" spans="1:8">
      <c r="A686" t="s">
        <v>940</v>
      </c>
      <c r="H686" t="s">
        <v>1621</v>
      </c>
    </row>
    <row r="687" spans="1:8">
      <c r="A687" t="s">
        <v>941</v>
      </c>
      <c r="H687" t="s">
        <v>1622</v>
      </c>
    </row>
    <row r="688" spans="1:8">
      <c r="A688" t="s">
        <v>942</v>
      </c>
      <c r="H688" t="s">
        <v>1623</v>
      </c>
    </row>
    <row r="689" spans="1:8">
      <c r="A689" t="s">
        <v>943</v>
      </c>
      <c r="H689" t="s">
        <v>1624</v>
      </c>
    </row>
    <row r="690" spans="1:8">
      <c r="A690" t="s">
        <v>944</v>
      </c>
      <c r="H690" t="s">
        <v>1625</v>
      </c>
    </row>
    <row r="691" spans="1:8">
      <c r="A691" t="s">
        <v>945</v>
      </c>
      <c r="H691" t="s">
        <v>1626</v>
      </c>
    </row>
    <row r="692" spans="1:8">
      <c r="A692" t="s">
        <v>946</v>
      </c>
      <c r="H692" t="s">
        <v>1627</v>
      </c>
    </row>
    <row r="693" spans="1:8">
      <c r="A693" t="s">
        <v>947</v>
      </c>
      <c r="H693" t="s">
        <v>1628</v>
      </c>
    </row>
    <row r="694" spans="1:8">
      <c r="A694" t="s">
        <v>948</v>
      </c>
      <c r="H694" t="s">
        <v>1629</v>
      </c>
    </row>
    <row r="695" spans="1:8">
      <c r="A695" t="s">
        <v>949</v>
      </c>
      <c r="H695" t="s">
        <v>1630</v>
      </c>
    </row>
    <row r="696" spans="1:8">
      <c r="A696" t="s">
        <v>950</v>
      </c>
      <c r="H696" t="s">
        <v>1631</v>
      </c>
    </row>
    <row r="697" spans="1:8">
      <c r="A697" t="s">
        <v>951</v>
      </c>
      <c r="H697" t="s">
        <v>1632</v>
      </c>
    </row>
    <row r="698" spans="1:8">
      <c r="A698" t="s">
        <v>952</v>
      </c>
      <c r="H698" t="s">
        <v>1633</v>
      </c>
    </row>
    <row r="699" spans="1:8">
      <c r="A699" t="s">
        <v>953</v>
      </c>
      <c r="H699" t="s">
        <v>1634</v>
      </c>
    </row>
    <row r="700" spans="1:8">
      <c r="A700" t="s">
        <v>954</v>
      </c>
      <c r="H700" t="s">
        <v>1635</v>
      </c>
    </row>
    <row r="701" spans="1:8">
      <c r="A701" t="s">
        <v>955</v>
      </c>
      <c r="H701" t="s">
        <v>1636</v>
      </c>
    </row>
    <row r="702" spans="1:8">
      <c r="A702" t="s">
        <v>956</v>
      </c>
      <c r="H702" t="s">
        <v>1637</v>
      </c>
    </row>
    <row r="703" spans="1:8">
      <c r="A703" t="s">
        <v>957</v>
      </c>
      <c r="H703" t="s">
        <v>1638</v>
      </c>
    </row>
    <row r="704" spans="1:8">
      <c r="A704" t="s">
        <v>958</v>
      </c>
      <c r="H704" t="s">
        <v>1639</v>
      </c>
    </row>
    <row r="705" spans="1:9">
      <c r="A705" t="s">
        <v>959</v>
      </c>
      <c r="H705" t="s">
        <v>1640</v>
      </c>
    </row>
    <row r="706" spans="1:9">
      <c r="A706" t="s">
        <v>959</v>
      </c>
      <c r="H706" t="s">
        <v>1641</v>
      </c>
    </row>
    <row r="707" spans="1:9">
      <c r="A707" t="s">
        <v>960</v>
      </c>
      <c r="H707" t="s">
        <v>1641</v>
      </c>
    </row>
    <row r="708" spans="1:9">
      <c r="A708" t="s">
        <v>961</v>
      </c>
      <c r="H708" t="s">
        <v>1642</v>
      </c>
    </row>
    <row r="709" spans="1:9">
      <c r="A709" t="s">
        <v>962</v>
      </c>
      <c r="H709" t="s">
        <v>1643</v>
      </c>
    </row>
    <row r="710" spans="1:9">
      <c r="A710" t="s">
        <v>963</v>
      </c>
      <c r="B710" t="s">
        <v>288</v>
      </c>
      <c r="H710" t="s">
        <v>1644</v>
      </c>
    </row>
    <row r="711" spans="1:9">
      <c r="A711" t="s">
        <v>964</v>
      </c>
      <c r="B711" t="s">
        <v>290</v>
      </c>
      <c r="H711" t="s">
        <v>1645</v>
      </c>
      <c r="I711" t="s">
        <v>288</v>
      </c>
    </row>
    <row r="712" spans="1:9">
      <c r="A712" t="s">
        <v>965</v>
      </c>
      <c r="B712" t="s">
        <v>292</v>
      </c>
      <c r="H712" t="s">
        <v>1646</v>
      </c>
      <c r="I712" t="s">
        <v>290</v>
      </c>
    </row>
    <row r="713" spans="1:9">
      <c r="A713" t="s">
        <v>966</v>
      </c>
      <c r="B713" t="s">
        <v>294</v>
      </c>
      <c r="H713" t="s">
        <v>1647</v>
      </c>
      <c r="I713" t="s">
        <v>292</v>
      </c>
    </row>
    <row r="714" spans="1:9">
      <c r="A714" t="s">
        <v>967</v>
      </c>
      <c r="H714" t="s">
        <v>1648</v>
      </c>
      <c r="I714" t="s">
        <v>993</v>
      </c>
    </row>
    <row r="715" spans="1:9">
      <c r="A715" t="s">
        <v>968</v>
      </c>
      <c r="B715" t="s">
        <v>297</v>
      </c>
      <c r="H715" t="s">
        <v>1649</v>
      </c>
    </row>
    <row r="716" spans="1:9">
      <c r="A716" t="s">
        <v>969</v>
      </c>
      <c r="B716" t="s">
        <v>299</v>
      </c>
      <c r="H716" t="s">
        <v>1650</v>
      </c>
      <c r="I716" t="s">
        <v>297</v>
      </c>
    </row>
    <row r="717" spans="1:9">
      <c r="A717" t="s">
        <v>970</v>
      </c>
      <c r="B717" t="s">
        <v>301</v>
      </c>
      <c r="H717" t="s">
        <v>1651</v>
      </c>
      <c r="I717" t="s">
        <v>299</v>
      </c>
    </row>
    <row r="718" spans="1:9">
      <c r="A718" t="s">
        <v>971</v>
      </c>
      <c r="B718" t="s">
        <v>972</v>
      </c>
      <c r="H718" t="s">
        <v>1652</v>
      </c>
      <c r="I718" t="s">
        <v>301</v>
      </c>
    </row>
    <row r="719" spans="1:9">
      <c r="A719" t="s">
        <v>973</v>
      </c>
      <c r="H719" t="s">
        <v>1653</v>
      </c>
      <c r="I719" t="s">
        <v>1654</v>
      </c>
    </row>
    <row r="720" spans="1:9">
      <c r="A720" t="s">
        <v>974</v>
      </c>
      <c r="B720" t="s">
        <v>306</v>
      </c>
      <c r="H720" t="s">
        <v>1655</v>
      </c>
    </row>
    <row r="721" spans="1:9">
      <c r="A721" t="s">
        <v>975</v>
      </c>
      <c r="B721" t="s">
        <v>308</v>
      </c>
      <c r="H721" t="s">
        <v>1656</v>
      </c>
      <c r="I721" t="s">
        <v>306</v>
      </c>
    </row>
    <row r="722" spans="1:9">
      <c r="A722" t="s">
        <v>976</v>
      </c>
      <c r="B722" t="s">
        <v>310</v>
      </c>
      <c r="H722" t="s">
        <v>1657</v>
      </c>
      <c r="I722" t="s">
        <v>308</v>
      </c>
    </row>
    <row r="723" spans="1:9">
      <c r="A723" t="s">
        <v>977</v>
      </c>
      <c r="B723" t="s">
        <v>312</v>
      </c>
      <c r="H723" t="s">
        <v>1658</v>
      </c>
      <c r="I723" t="s">
        <v>310</v>
      </c>
    </row>
    <row r="724" spans="1:9">
      <c r="A724" t="s">
        <v>978</v>
      </c>
      <c r="H724" t="s">
        <v>1659</v>
      </c>
      <c r="I724" t="s">
        <v>312</v>
      </c>
    </row>
    <row r="725" spans="1:9">
      <c r="A725" t="s">
        <v>979</v>
      </c>
      <c r="B725" t="s">
        <v>980</v>
      </c>
      <c r="H725" t="s">
        <v>1660</v>
      </c>
    </row>
    <row r="726" spans="1:9">
      <c r="A726" t="s">
        <v>981</v>
      </c>
      <c r="H726" t="s">
        <v>1661</v>
      </c>
      <c r="I726" t="s">
        <v>980</v>
      </c>
    </row>
    <row r="727" spans="1:9">
      <c r="A727" t="s">
        <v>982</v>
      </c>
      <c r="H727" t="s">
        <v>1662</v>
      </c>
    </row>
    <row r="728" spans="1:9">
      <c r="H728" t="s">
        <v>1663</v>
      </c>
    </row>
  </sheetData>
  <pageMargins left="0.7" right="0.7" top="0.75" bottom="0.75" header="0.3" footer="0.3"/>
  <pageSetup paperSize="9"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4CC31-BE87-4A76-A001-94A75E0393AC}">
  <dimension ref="A1:AR75"/>
  <sheetViews>
    <sheetView workbookViewId="0">
      <selection activeCell="G45" sqref="G45"/>
    </sheetView>
  </sheetViews>
  <sheetFormatPr defaultRowHeight="14.5"/>
  <cols>
    <col min="1" max="1" width="33.54296875" customWidth="1"/>
    <col min="6" max="6" width="19.453125" customWidth="1"/>
    <col min="7" max="7" width="43.81640625" bestFit="1" customWidth="1"/>
  </cols>
  <sheetData>
    <row r="1" spans="1:44">
      <c r="A1" s="1" t="s">
        <v>183</v>
      </c>
      <c r="B1" s="1" t="s">
        <v>184</v>
      </c>
      <c r="C1" s="1" t="s">
        <v>185</v>
      </c>
      <c r="D1" s="96" t="s">
        <v>186</v>
      </c>
      <c r="E1" s="97" t="s">
        <v>187</v>
      </c>
      <c r="F1" s="97" t="s">
        <v>188</v>
      </c>
      <c r="G1" s="1" t="s">
        <v>189</v>
      </c>
      <c r="H1" s="48" t="s">
        <v>190</v>
      </c>
    </row>
    <row r="2" spans="1:44">
      <c r="A2" s="98" t="s">
        <v>198</v>
      </c>
      <c r="D2" s="99" t="s">
        <v>191</v>
      </c>
      <c r="E2" s="100" t="s">
        <v>192</v>
      </c>
      <c r="F2" s="100"/>
    </row>
    <row r="3" spans="1:44">
      <c r="A3" s="101"/>
      <c r="D3" s="99"/>
      <c r="E3" s="102" t="s">
        <v>193</v>
      </c>
      <c r="F3" s="102"/>
      <c r="H3" s="59" t="s">
        <v>194</v>
      </c>
      <c r="T3" t="s">
        <v>2009</v>
      </c>
    </row>
    <row r="4" spans="1:44">
      <c r="A4" s="103" t="s">
        <v>199</v>
      </c>
      <c r="B4" s="104"/>
      <c r="C4" s="1"/>
      <c r="D4" s="96" t="s">
        <v>195</v>
      </c>
      <c r="E4" s="97" t="s">
        <v>196</v>
      </c>
      <c r="F4" s="97"/>
      <c r="H4" s="59" t="s">
        <v>2011</v>
      </c>
      <c r="T4" t="s">
        <v>2010</v>
      </c>
    </row>
    <row r="5" spans="1:44" s="108" customFormat="1">
      <c r="A5" s="111" t="s">
        <v>201</v>
      </c>
      <c r="B5" s="106" t="s">
        <v>202</v>
      </c>
      <c r="C5" s="107"/>
      <c r="D5" s="126"/>
      <c r="E5" s="127"/>
      <c r="F5" s="128"/>
      <c r="G5" s="107"/>
      <c r="H5" s="110"/>
      <c r="I5" s="111" t="s">
        <v>197</v>
      </c>
      <c r="J5" s="112"/>
      <c r="K5" s="112"/>
      <c r="L5" s="112"/>
      <c r="M5" s="113"/>
      <c r="N5" s="113"/>
      <c r="O5" s="113"/>
      <c r="P5" s="113"/>
      <c r="Q5" s="114"/>
      <c r="R5" s="112"/>
      <c r="S5" s="112"/>
      <c r="T5" s="115"/>
      <c r="U5" s="115"/>
      <c r="V5" s="116"/>
      <c r="W5" s="117"/>
      <c r="X5" s="118"/>
      <c r="Y5" s="119"/>
      <c r="Z5" s="112"/>
      <c r="AA5" s="112"/>
      <c r="AB5" s="120"/>
      <c r="AC5" s="120"/>
      <c r="AD5" s="121"/>
      <c r="AE5" s="121"/>
      <c r="AG5" s="121"/>
      <c r="AH5" s="105"/>
      <c r="AJ5" s="111"/>
      <c r="AL5" s="112"/>
      <c r="AM5" s="122"/>
      <c r="AN5" s="123"/>
      <c r="AO5" s="112"/>
      <c r="AP5" s="112"/>
      <c r="AQ5" s="112"/>
      <c r="AR5" s="112"/>
    </row>
    <row r="6" spans="1:44">
      <c r="A6">
        <v>2021</v>
      </c>
      <c r="B6" t="s">
        <v>43</v>
      </c>
      <c r="C6" s="59" t="s">
        <v>203</v>
      </c>
      <c r="D6">
        <v>5</v>
      </c>
      <c r="F6" s="124">
        <v>44704</v>
      </c>
      <c r="G6" t="s">
        <v>2003</v>
      </c>
      <c r="H6" t="s">
        <v>2005</v>
      </c>
    </row>
    <row r="7" spans="1:44">
      <c r="A7">
        <v>2021</v>
      </c>
      <c r="B7" t="s">
        <v>43</v>
      </c>
      <c r="C7">
        <v>2</v>
      </c>
      <c r="D7">
        <v>4</v>
      </c>
      <c r="F7" s="124">
        <v>44704</v>
      </c>
      <c r="H7" t="s">
        <v>2005</v>
      </c>
    </row>
    <row r="8" spans="1:44">
      <c r="A8">
        <v>2021</v>
      </c>
      <c r="B8" t="s">
        <v>43</v>
      </c>
      <c r="C8">
        <v>3</v>
      </c>
      <c r="D8">
        <v>5</v>
      </c>
      <c r="F8" s="124">
        <v>44704</v>
      </c>
      <c r="H8" t="s">
        <v>2005</v>
      </c>
    </row>
    <row r="9" spans="1:44">
      <c r="A9">
        <v>2021</v>
      </c>
      <c r="B9" t="s">
        <v>43</v>
      </c>
      <c r="C9">
        <v>4</v>
      </c>
      <c r="D9">
        <v>4</v>
      </c>
      <c r="F9" s="124">
        <v>44704</v>
      </c>
      <c r="H9" t="s">
        <v>2005</v>
      </c>
    </row>
    <row r="10" spans="1:44">
      <c r="A10">
        <v>2021</v>
      </c>
      <c r="B10" t="s">
        <v>43</v>
      </c>
      <c r="C10">
        <v>5</v>
      </c>
      <c r="D10">
        <v>3</v>
      </c>
      <c r="F10" s="124">
        <v>44704</v>
      </c>
      <c r="H10" t="s">
        <v>2005</v>
      </c>
    </row>
    <row r="11" spans="1:44">
      <c r="A11">
        <v>2021</v>
      </c>
      <c r="B11" t="s">
        <v>43</v>
      </c>
      <c r="C11">
        <v>6</v>
      </c>
      <c r="D11">
        <v>3</v>
      </c>
      <c r="F11" s="124">
        <v>44704</v>
      </c>
      <c r="H11" t="s">
        <v>2005</v>
      </c>
    </row>
    <row r="12" spans="1:44">
      <c r="A12">
        <v>2021</v>
      </c>
      <c r="B12" t="s">
        <v>43</v>
      </c>
      <c r="C12">
        <v>7</v>
      </c>
      <c r="D12">
        <v>3</v>
      </c>
      <c r="F12" s="124">
        <v>44704</v>
      </c>
      <c r="G12" t="s">
        <v>2004</v>
      </c>
      <c r="H12" t="s">
        <v>2005</v>
      </c>
    </row>
    <row r="13" spans="1:44">
      <c r="A13">
        <v>2021</v>
      </c>
      <c r="B13" t="s">
        <v>43</v>
      </c>
      <c r="C13">
        <v>8</v>
      </c>
      <c r="D13">
        <v>4</v>
      </c>
      <c r="F13" s="124">
        <v>44704</v>
      </c>
      <c r="G13" t="s">
        <v>2004</v>
      </c>
      <c r="H13" t="s">
        <v>2005</v>
      </c>
    </row>
    <row r="14" spans="1:44">
      <c r="A14">
        <v>2021</v>
      </c>
      <c r="B14" t="s">
        <v>43</v>
      </c>
      <c r="C14">
        <v>9</v>
      </c>
      <c r="D14">
        <v>4</v>
      </c>
      <c r="F14" s="124">
        <v>44704</v>
      </c>
      <c r="H14" t="s">
        <v>2005</v>
      </c>
    </row>
    <row r="15" spans="1:44">
      <c r="A15">
        <v>2021</v>
      </c>
      <c r="B15" t="s">
        <v>43</v>
      </c>
      <c r="C15">
        <v>10</v>
      </c>
      <c r="D15">
        <v>3</v>
      </c>
      <c r="F15" s="124">
        <v>44704</v>
      </c>
      <c r="H15" t="s">
        <v>2005</v>
      </c>
    </row>
    <row r="16" spans="1:44">
      <c r="A16">
        <v>2021</v>
      </c>
      <c r="B16" t="s">
        <v>43</v>
      </c>
      <c r="C16">
        <v>11</v>
      </c>
      <c r="D16">
        <v>4</v>
      </c>
      <c r="F16" s="124">
        <v>44704</v>
      </c>
      <c r="H16" t="s">
        <v>2006</v>
      </c>
    </row>
    <row r="17" spans="1:9">
      <c r="A17">
        <v>2021</v>
      </c>
      <c r="B17" t="s">
        <v>43</v>
      </c>
      <c r="C17">
        <v>12</v>
      </c>
      <c r="D17">
        <v>6</v>
      </c>
      <c r="F17" s="124">
        <v>44707</v>
      </c>
      <c r="H17" t="s">
        <v>2007</v>
      </c>
    </row>
    <row r="18" spans="1:9">
      <c r="A18">
        <v>2021</v>
      </c>
      <c r="B18" t="s">
        <v>43</v>
      </c>
      <c r="C18">
        <v>13</v>
      </c>
      <c r="D18">
        <v>6</v>
      </c>
      <c r="F18" s="124">
        <v>44707</v>
      </c>
      <c r="H18" t="s">
        <v>2007</v>
      </c>
    </row>
    <row r="19" spans="1:9">
      <c r="A19">
        <v>2021</v>
      </c>
      <c r="B19" t="s">
        <v>43</v>
      </c>
      <c r="C19">
        <v>14</v>
      </c>
      <c r="D19">
        <v>6</v>
      </c>
      <c r="F19" s="124">
        <v>44707</v>
      </c>
      <c r="H19" t="s">
        <v>2007</v>
      </c>
    </row>
    <row r="20" spans="1:9">
      <c r="A20">
        <v>2021</v>
      </c>
      <c r="B20" t="s">
        <v>43</v>
      </c>
      <c r="C20">
        <v>15</v>
      </c>
      <c r="D20">
        <v>20</v>
      </c>
      <c r="F20" s="124">
        <v>44707</v>
      </c>
      <c r="H20" t="s">
        <v>2007</v>
      </c>
    </row>
    <row r="21" spans="1:9">
      <c r="A21">
        <v>2021</v>
      </c>
      <c r="B21" t="s">
        <v>43</v>
      </c>
      <c r="C21">
        <v>16</v>
      </c>
      <c r="D21">
        <v>50</v>
      </c>
      <c r="F21" s="124">
        <v>44707</v>
      </c>
      <c r="G21" t="s">
        <v>2008</v>
      </c>
      <c r="H21" t="s">
        <v>2007</v>
      </c>
    </row>
    <row r="22" spans="1:9">
      <c r="A22">
        <v>2021</v>
      </c>
      <c r="B22" t="s">
        <v>43</v>
      </c>
      <c r="C22">
        <v>17</v>
      </c>
      <c r="D22">
        <v>15</v>
      </c>
      <c r="F22" s="124">
        <v>44707</v>
      </c>
      <c r="H22" t="s">
        <v>2007</v>
      </c>
    </row>
    <row r="23" spans="1:9">
      <c r="A23">
        <v>2021</v>
      </c>
      <c r="B23" t="s">
        <v>43</v>
      </c>
      <c r="C23">
        <v>18</v>
      </c>
      <c r="D23">
        <v>10</v>
      </c>
      <c r="F23" s="124">
        <v>44707</v>
      </c>
      <c r="H23" t="s">
        <v>2007</v>
      </c>
    </row>
    <row r="24" spans="1:9">
      <c r="A24">
        <v>2021</v>
      </c>
      <c r="B24" t="s">
        <v>43</v>
      </c>
      <c r="C24">
        <v>19</v>
      </c>
      <c r="D24">
        <v>5</v>
      </c>
      <c r="F24" s="124">
        <v>44708</v>
      </c>
      <c r="H24" t="s">
        <v>2007</v>
      </c>
    </row>
    <row r="25" spans="1:9">
      <c r="A25">
        <v>2021</v>
      </c>
      <c r="B25" t="s">
        <v>43</v>
      </c>
      <c r="C25">
        <v>20</v>
      </c>
      <c r="D25">
        <v>3</v>
      </c>
      <c r="F25" s="124">
        <v>44708</v>
      </c>
      <c r="H25" t="s">
        <v>2007</v>
      </c>
    </row>
    <row r="26" spans="1:9">
      <c r="A26">
        <v>2021</v>
      </c>
      <c r="B26" t="s">
        <v>43</v>
      </c>
      <c r="C26">
        <v>21</v>
      </c>
      <c r="D26">
        <v>3</v>
      </c>
      <c r="F26" s="124">
        <v>44708</v>
      </c>
      <c r="H26" t="s">
        <v>2007</v>
      </c>
    </row>
    <row r="27" spans="1:9">
      <c r="A27" s="125" t="s">
        <v>200</v>
      </c>
    </row>
    <row r="28" spans="1:9">
      <c r="A28" s="125"/>
    </row>
    <row r="29" spans="1:9" s="129" customFormat="1">
      <c r="A29" s="130" t="str">
        <f>A5</f>
        <v>Deployment 24/04/2021 IN2021_V02</v>
      </c>
      <c r="B29" s="106" t="s">
        <v>204</v>
      </c>
      <c r="I29" s="129" t="str">
        <f>I5</f>
        <v>all 21 cups collected (250ml cups)</v>
      </c>
    </row>
    <row r="30" spans="1:9">
      <c r="A30">
        <v>2021</v>
      </c>
      <c r="B30" t="s">
        <v>46</v>
      </c>
      <c r="C30" s="59" t="s">
        <v>205</v>
      </c>
      <c r="D30">
        <v>3</v>
      </c>
      <c r="F30" s="124">
        <v>44711</v>
      </c>
      <c r="G30" t="s">
        <v>2004</v>
      </c>
      <c r="H30" t="s">
        <v>2007</v>
      </c>
    </row>
    <row r="31" spans="1:9">
      <c r="A31">
        <v>2021</v>
      </c>
      <c r="B31" t="s">
        <v>46</v>
      </c>
      <c r="C31">
        <v>2</v>
      </c>
      <c r="D31">
        <v>3</v>
      </c>
      <c r="F31" s="124">
        <v>44711</v>
      </c>
      <c r="H31" t="s">
        <v>2007</v>
      </c>
    </row>
    <row r="32" spans="1:9">
      <c r="A32">
        <v>2021</v>
      </c>
      <c r="B32" t="s">
        <v>46</v>
      </c>
      <c r="C32">
        <v>3</v>
      </c>
      <c r="D32">
        <v>3</v>
      </c>
      <c r="F32" s="124">
        <v>44711</v>
      </c>
      <c r="H32" t="s">
        <v>2007</v>
      </c>
    </row>
    <row r="33" spans="1:8">
      <c r="A33">
        <v>2021</v>
      </c>
      <c r="B33" t="s">
        <v>46</v>
      </c>
      <c r="C33">
        <v>4</v>
      </c>
      <c r="D33">
        <v>3</v>
      </c>
      <c r="F33" s="124">
        <v>44711</v>
      </c>
      <c r="H33" t="s">
        <v>2007</v>
      </c>
    </row>
    <row r="34" spans="1:8">
      <c r="A34">
        <v>2021</v>
      </c>
      <c r="B34" t="s">
        <v>46</v>
      </c>
      <c r="C34">
        <v>5</v>
      </c>
      <c r="D34">
        <v>3</v>
      </c>
      <c r="F34" s="124">
        <v>44711</v>
      </c>
      <c r="H34" t="s">
        <v>2007</v>
      </c>
    </row>
    <row r="35" spans="1:8">
      <c r="A35">
        <v>2021</v>
      </c>
      <c r="B35" t="s">
        <v>46</v>
      </c>
      <c r="C35">
        <v>6</v>
      </c>
      <c r="D35">
        <v>2</v>
      </c>
      <c r="F35" s="124">
        <v>44711</v>
      </c>
      <c r="H35" t="s">
        <v>2007</v>
      </c>
    </row>
    <row r="36" spans="1:8">
      <c r="A36">
        <v>2021</v>
      </c>
      <c r="B36" t="s">
        <v>46</v>
      </c>
      <c r="C36">
        <v>7</v>
      </c>
      <c r="D36">
        <v>2</v>
      </c>
      <c r="F36" s="124">
        <v>44711</v>
      </c>
      <c r="H36" t="s">
        <v>2007</v>
      </c>
    </row>
    <row r="37" spans="1:8">
      <c r="A37">
        <v>2021</v>
      </c>
      <c r="B37" t="s">
        <v>46</v>
      </c>
      <c r="C37">
        <v>8</v>
      </c>
      <c r="D37">
        <v>2</v>
      </c>
      <c r="F37" s="124">
        <v>44711</v>
      </c>
      <c r="H37" t="s">
        <v>2007</v>
      </c>
    </row>
    <row r="38" spans="1:8">
      <c r="A38">
        <v>2021</v>
      </c>
      <c r="B38" t="s">
        <v>46</v>
      </c>
      <c r="C38">
        <v>9</v>
      </c>
      <c r="D38">
        <v>2</v>
      </c>
      <c r="F38" s="124">
        <v>44711</v>
      </c>
      <c r="H38" t="s">
        <v>2007</v>
      </c>
    </row>
    <row r="39" spans="1:8">
      <c r="A39">
        <v>2021</v>
      </c>
      <c r="B39" t="s">
        <v>46</v>
      </c>
      <c r="C39">
        <v>10</v>
      </c>
      <c r="D39">
        <v>3</v>
      </c>
      <c r="F39" s="124">
        <v>44711</v>
      </c>
      <c r="H39" t="s">
        <v>2007</v>
      </c>
    </row>
    <row r="40" spans="1:8">
      <c r="A40">
        <v>2021</v>
      </c>
      <c r="B40" t="s">
        <v>46</v>
      </c>
      <c r="C40">
        <v>11</v>
      </c>
      <c r="D40">
        <v>3</v>
      </c>
      <c r="F40" s="124">
        <v>44712</v>
      </c>
      <c r="H40" t="s">
        <v>2007</v>
      </c>
    </row>
    <row r="41" spans="1:8">
      <c r="A41">
        <v>2021</v>
      </c>
      <c r="B41" t="s">
        <v>46</v>
      </c>
      <c r="C41">
        <v>12</v>
      </c>
      <c r="D41">
        <v>4</v>
      </c>
      <c r="F41" s="124">
        <v>44712</v>
      </c>
      <c r="H41" t="s">
        <v>2007</v>
      </c>
    </row>
    <row r="42" spans="1:8">
      <c r="A42">
        <v>2021</v>
      </c>
      <c r="B42" t="s">
        <v>46</v>
      </c>
      <c r="C42">
        <v>13</v>
      </c>
      <c r="D42">
        <v>4</v>
      </c>
      <c r="F42" s="124">
        <v>44712</v>
      </c>
      <c r="H42" t="s">
        <v>2007</v>
      </c>
    </row>
    <row r="43" spans="1:8">
      <c r="A43">
        <v>2021</v>
      </c>
      <c r="B43" t="s">
        <v>46</v>
      </c>
      <c r="C43">
        <v>14</v>
      </c>
      <c r="D43">
        <v>6</v>
      </c>
      <c r="F43" s="124">
        <v>44712</v>
      </c>
      <c r="H43" t="s">
        <v>2007</v>
      </c>
    </row>
    <row r="44" spans="1:8">
      <c r="A44">
        <v>2021</v>
      </c>
      <c r="B44" t="s">
        <v>46</v>
      </c>
      <c r="C44">
        <v>15</v>
      </c>
      <c r="D44">
        <v>12</v>
      </c>
      <c r="F44" s="124">
        <v>44712</v>
      </c>
      <c r="H44" t="s">
        <v>2015</v>
      </c>
    </row>
    <row r="45" spans="1:8">
      <c r="A45">
        <v>2021</v>
      </c>
      <c r="B45" t="s">
        <v>46</v>
      </c>
      <c r="C45">
        <v>16</v>
      </c>
      <c r="D45">
        <v>45</v>
      </c>
      <c r="F45" s="124">
        <v>44712</v>
      </c>
      <c r="G45" t="s">
        <v>2008</v>
      </c>
      <c r="H45" t="s">
        <v>2016</v>
      </c>
    </row>
    <row r="46" spans="1:8">
      <c r="A46">
        <v>2021</v>
      </c>
      <c r="B46" t="s">
        <v>46</v>
      </c>
      <c r="C46">
        <v>17</v>
      </c>
      <c r="D46">
        <v>32</v>
      </c>
      <c r="F46" s="124">
        <v>44714</v>
      </c>
      <c r="G46" t="s">
        <v>2008</v>
      </c>
      <c r="H46" t="s">
        <v>2016</v>
      </c>
    </row>
    <row r="47" spans="1:8">
      <c r="A47">
        <v>2021</v>
      </c>
      <c r="B47" t="s">
        <v>46</v>
      </c>
      <c r="C47">
        <v>18</v>
      </c>
      <c r="D47">
        <v>13</v>
      </c>
      <c r="F47" s="124">
        <v>44714</v>
      </c>
      <c r="G47" t="s">
        <v>2008</v>
      </c>
      <c r="H47" t="s">
        <v>2016</v>
      </c>
    </row>
    <row r="48" spans="1:8">
      <c r="A48">
        <v>2021</v>
      </c>
      <c r="B48" t="s">
        <v>46</v>
      </c>
      <c r="C48">
        <v>19</v>
      </c>
      <c r="D48">
        <v>4</v>
      </c>
      <c r="F48" s="124">
        <v>44714</v>
      </c>
      <c r="H48" t="s">
        <v>2016</v>
      </c>
    </row>
    <row r="49" spans="1:9">
      <c r="A49">
        <v>2021</v>
      </c>
      <c r="B49" t="s">
        <v>46</v>
      </c>
      <c r="C49">
        <v>20</v>
      </c>
      <c r="D49">
        <v>2</v>
      </c>
      <c r="F49" s="124">
        <v>44714</v>
      </c>
      <c r="H49" t="s">
        <v>2016</v>
      </c>
    </row>
    <row r="50" spans="1:9">
      <c r="A50">
        <v>2021</v>
      </c>
      <c r="B50" t="s">
        <v>46</v>
      </c>
      <c r="C50">
        <v>21</v>
      </c>
      <c r="D50">
        <v>2</v>
      </c>
      <c r="F50" s="124">
        <v>44714</v>
      </c>
      <c r="H50" t="s">
        <v>2016</v>
      </c>
    </row>
    <row r="51" spans="1:9">
      <c r="A51" s="125" t="s">
        <v>200</v>
      </c>
    </row>
    <row r="53" spans="1:9" s="129" customFormat="1">
      <c r="A53" s="130" t="str">
        <f>A29</f>
        <v>Deployment 24/04/2021 IN2021_V02</v>
      </c>
      <c r="B53" s="106" t="s">
        <v>206</v>
      </c>
      <c r="I53" s="129" t="str">
        <f>I29</f>
        <v>all 21 cups collected (250ml cups)</v>
      </c>
    </row>
    <row r="54" spans="1:9">
      <c r="A54">
        <v>2021</v>
      </c>
      <c r="B54" t="s">
        <v>47</v>
      </c>
      <c r="C54" s="59" t="s">
        <v>207</v>
      </c>
      <c r="D54">
        <v>5</v>
      </c>
      <c r="F54" s="124">
        <v>44715</v>
      </c>
      <c r="H54" t="s">
        <v>2016</v>
      </c>
    </row>
    <row r="55" spans="1:9">
      <c r="A55">
        <v>2021</v>
      </c>
      <c r="B55" t="s">
        <v>47</v>
      </c>
      <c r="C55">
        <v>2</v>
      </c>
      <c r="D55">
        <v>4</v>
      </c>
      <c r="F55" s="124">
        <v>44715</v>
      </c>
      <c r="H55" t="s">
        <v>2016</v>
      </c>
    </row>
    <row r="56" spans="1:9">
      <c r="A56">
        <v>2021</v>
      </c>
      <c r="B56" t="s">
        <v>47</v>
      </c>
      <c r="C56">
        <v>3</v>
      </c>
      <c r="D56">
        <v>4</v>
      </c>
      <c r="F56" s="124">
        <v>44715</v>
      </c>
      <c r="H56" t="s">
        <v>2016</v>
      </c>
    </row>
    <row r="57" spans="1:9">
      <c r="A57">
        <v>2021</v>
      </c>
      <c r="B57" t="s">
        <v>47</v>
      </c>
      <c r="C57">
        <v>4</v>
      </c>
      <c r="D57">
        <v>3</v>
      </c>
      <c r="F57" s="124">
        <v>44715</v>
      </c>
      <c r="H57" t="s">
        <v>2016</v>
      </c>
    </row>
    <row r="58" spans="1:9">
      <c r="A58">
        <v>2021</v>
      </c>
      <c r="B58" t="s">
        <v>47</v>
      </c>
      <c r="C58">
        <v>5</v>
      </c>
      <c r="D58">
        <v>3</v>
      </c>
      <c r="F58" s="124">
        <v>44715</v>
      </c>
      <c r="H58" t="s">
        <v>2016</v>
      </c>
    </row>
    <row r="59" spans="1:9">
      <c r="A59">
        <v>2021</v>
      </c>
      <c r="B59" t="s">
        <v>47</v>
      </c>
      <c r="C59">
        <v>6</v>
      </c>
      <c r="D59">
        <v>3</v>
      </c>
      <c r="F59" s="124">
        <v>44720</v>
      </c>
      <c r="H59" t="s">
        <v>2016</v>
      </c>
    </row>
    <row r="60" spans="1:9">
      <c r="A60">
        <v>2021</v>
      </c>
      <c r="B60" t="s">
        <v>47</v>
      </c>
      <c r="C60">
        <v>7</v>
      </c>
      <c r="D60">
        <v>2</v>
      </c>
      <c r="F60" s="124">
        <v>44720</v>
      </c>
      <c r="H60" t="s">
        <v>2016</v>
      </c>
    </row>
    <row r="61" spans="1:9">
      <c r="A61">
        <v>2021</v>
      </c>
      <c r="B61" t="s">
        <v>47</v>
      </c>
      <c r="C61">
        <v>8</v>
      </c>
      <c r="D61">
        <v>2</v>
      </c>
      <c r="F61" s="124">
        <v>44720</v>
      </c>
      <c r="H61" t="s">
        <v>2016</v>
      </c>
    </row>
    <row r="62" spans="1:9">
      <c r="A62">
        <v>2021</v>
      </c>
      <c r="B62" t="s">
        <v>47</v>
      </c>
      <c r="C62">
        <v>9</v>
      </c>
      <c r="D62">
        <v>2</v>
      </c>
      <c r="F62" s="124">
        <v>44720</v>
      </c>
      <c r="H62" t="s">
        <v>2016</v>
      </c>
    </row>
    <row r="63" spans="1:9">
      <c r="A63">
        <v>2021</v>
      </c>
      <c r="B63" t="s">
        <v>47</v>
      </c>
      <c r="C63">
        <v>10</v>
      </c>
      <c r="D63">
        <v>2</v>
      </c>
      <c r="F63" s="124">
        <v>44720</v>
      </c>
      <c r="H63" t="s">
        <v>2016</v>
      </c>
    </row>
    <row r="64" spans="1:9">
      <c r="A64">
        <v>2021</v>
      </c>
      <c r="B64" t="s">
        <v>47</v>
      </c>
      <c r="C64">
        <v>11</v>
      </c>
      <c r="D64">
        <v>3</v>
      </c>
      <c r="F64" s="124">
        <v>44720</v>
      </c>
      <c r="G64" t="s">
        <v>2012</v>
      </c>
      <c r="H64" t="s">
        <v>2016</v>
      </c>
    </row>
    <row r="65" spans="1:8">
      <c r="A65">
        <v>2021</v>
      </c>
      <c r="B65" t="s">
        <v>47</v>
      </c>
      <c r="C65">
        <v>12</v>
      </c>
      <c r="D65">
        <v>5</v>
      </c>
      <c r="F65" s="124">
        <v>44720</v>
      </c>
      <c r="G65" t="s">
        <v>2013</v>
      </c>
      <c r="H65" t="s">
        <v>2017</v>
      </c>
    </row>
    <row r="66" spans="1:8">
      <c r="A66">
        <v>2021</v>
      </c>
      <c r="B66" t="s">
        <v>47</v>
      </c>
      <c r="C66">
        <v>13</v>
      </c>
      <c r="D66">
        <v>4</v>
      </c>
      <c r="F66" s="124">
        <v>44720</v>
      </c>
      <c r="G66" t="s">
        <v>2012</v>
      </c>
      <c r="H66" t="s">
        <v>2014</v>
      </c>
    </row>
    <row r="67" spans="1:8">
      <c r="A67">
        <v>2021</v>
      </c>
      <c r="B67" t="s">
        <v>47</v>
      </c>
      <c r="C67">
        <v>14</v>
      </c>
      <c r="D67">
        <v>3</v>
      </c>
      <c r="F67" s="124">
        <v>44720</v>
      </c>
      <c r="H67" t="s">
        <v>2014</v>
      </c>
    </row>
    <row r="68" spans="1:8">
      <c r="A68">
        <v>2021</v>
      </c>
      <c r="B68" t="s">
        <v>47</v>
      </c>
      <c r="C68">
        <v>15</v>
      </c>
      <c r="D68">
        <v>8</v>
      </c>
      <c r="F68" s="124">
        <v>44721</v>
      </c>
      <c r="H68" t="s">
        <v>2014</v>
      </c>
    </row>
    <row r="69" spans="1:8">
      <c r="A69">
        <v>2021</v>
      </c>
      <c r="B69" t="s">
        <v>47</v>
      </c>
      <c r="C69">
        <v>16</v>
      </c>
      <c r="D69">
        <v>35</v>
      </c>
      <c r="F69" s="124">
        <v>44721</v>
      </c>
      <c r="G69" t="s">
        <v>2018</v>
      </c>
      <c r="H69" t="s">
        <v>2014</v>
      </c>
    </row>
    <row r="70" spans="1:8">
      <c r="A70">
        <v>2021</v>
      </c>
      <c r="B70" t="s">
        <v>47</v>
      </c>
      <c r="C70">
        <v>17</v>
      </c>
      <c r="D70">
        <v>40</v>
      </c>
      <c r="F70" s="124">
        <v>44721</v>
      </c>
      <c r="G70" t="s">
        <v>2018</v>
      </c>
      <c r="H70" t="s">
        <v>2014</v>
      </c>
    </row>
    <row r="71" spans="1:8">
      <c r="A71">
        <v>2021</v>
      </c>
      <c r="B71" t="s">
        <v>47</v>
      </c>
      <c r="C71">
        <v>18</v>
      </c>
      <c r="D71">
        <v>20</v>
      </c>
      <c r="F71" s="124">
        <v>44721</v>
      </c>
      <c r="G71" t="s">
        <v>2018</v>
      </c>
      <c r="H71" t="s">
        <v>2014</v>
      </c>
    </row>
    <row r="72" spans="1:8">
      <c r="A72">
        <v>2021</v>
      </c>
      <c r="B72" t="s">
        <v>47</v>
      </c>
      <c r="C72">
        <v>19</v>
      </c>
      <c r="D72">
        <v>10</v>
      </c>
      <c r="F72" s="124">
        <v>44721</v>
      </c>
      <c r="H72" t="s">
        <v>2014</v>
      </c>
    </row>
    <row r="73" spans="1:8">
      <c r="A73">
        <v>2021</v>
      </c>
      <c r="B73" t="s">
        <v>47</v>
      </c>
      <c r="C73">
        <v>20</v>
      </c>
      <c r="D73">
        <v>5</v>
      </c>
      <c r="F73" s="124">
        <v>44721</v>
      </c>
      <c r="H73" t="s">
        <v>2014</v>
      </c>
    </row>
    <row r="74" spans="1:8">
      <c r="A74">
        <v>2021</v>
      </c>
      <c r="B74" t="s">
        <v>47</v>
      </c>
      <c r="C74">
        <v>21</v>
      </c>
      <c r="D74">
        <v>4</v>
      </c>
      <c r="F74" s="124">
        <v>44721</v>
      </c>
      <c r="H74" t="s">
        <v>2014</v>
      </c>
    </row>
    <row r="75" spans="1:8">
      <c r="A75" s="125" t="s">
        <v>200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DC1E-9BDD-480A-BA0B-D97D4DC8C607}">
  <dimension ref="A1:AT78"/>
  <sheetViews>
    <sheetView workbookViewId="0">
      <pane ySplit="1230" topLeftCell="A31" activePane="bottomLeft"/>
      <selection pane="bottomLeft" activeCell="V74" sqref="V74"/>
    </sheetView>
  </sheetViews>
  <sheetFormatPr defaultRowHeight="14.5"/>
  <cols>
    <col min="2" max="2" width="12.1796875" customWidth="1"/>
    <col min="8" max="10" width="10.7265625" bestFit="1" customWidth="1"/>
    <col min="11" max="11" width="10.453125" customWidth="1"/>
    <col min="12" max="12" width="11.54296875" customWidth="1"/>
    <col min="13" max="13" width="10.7265625" bestFit="1" customWidth="1"/>
    <col min="24" max="24" width="18.7265625" customWidth="1"/>
  </cols>
  <sheetData>
    <row r="1" spans="1:46" ht="15.5">
      <c r="B1" t="s">
        <v>2170</v>
      </c>
      <c r="C1" t="s">
        <v>192</v>
      </c>
      <c r="D1" t="s">
        <v>2171</v>
      </c>
      <c r="E1" t="s">
        <v>2171</v>
      </c>
      <c r="F1" s="100" t="s">
        <v>2172</v>
      </c>
      <c r="G1" s="140" t="s">
        <v>2172</v>
      </c>
      <c r="H1" s="266" t="s">
        <v>2030</v>
      </c>
      <c r="I1" s="266" t="s">
        <v>2030</v>
      </c>
      <c r="J1" t="s">
        <v>2173</v>
      </c>
      <c r="K1" s="147" t="s">
        <v>2174</v>
      </c>
      <c r="L1" s="147" t="s">
        <v>2019</v>
      </c>
      <c r="M1" t="s">
        <v>2173</v>
      </c>
      <c r="N1" s="147" t="s">
        <v>2174</v>
      </c>
      <c r="O1" s="147" t="s">
        <v>2019</v>
      </c>
      <c r="P1" s="147" t="s">
        <v>2175</v>
      </c>
      <c r="Q1" t="s">
        <v>2176</v>
      </c>
      <c r="R1" t="s">
        <v>2177</v>
      </c>
      <c r="S1" t="s">
        <v>222</v>
      </c>
      <c r="T1" t="s">
        <v>222</v>
      </c>
      <c r="U1" s="100" t="s">
        <v>2172</v>
      </c>
      <c r="V1" s="267" t="s">
        <v>2172</v>
      </c>
      <c r="W1" s="100" t="s">
        <v>2172</v>
      </c>
      <c r="X1" s="261" t="s">
        <v>2172</v>
      </c>
      <c r="Y1" s="268" t="s">
        <v>2172</v>
      </c>
      <c r="Z1" s="269" t="s">
        <v>2172</v>
      </c>
      <c r="AA1" s="269" t="s">
        <v>2178</v>
      </c>
      <c r="AB1" s="269" t="s">
        <v>2178</v>
      </c>
      <c r="AC1" s="270" t="s">
        <v>2173</v>
      </c>
      <c r="AD1" s="271" t="s">
        <v>2174</v>
      </c>
      <c r="AE1" s="271" t="s">
        <v>2019</v>
      </c>
      <c r="AF1" s="97" t="s">
        <v>2172</v>
      </c>
      <c r="AG1" s="97" t="s">
        <v>2172</v>
      </c>
      <c r="AH1" s="97" t="s">
        <v>2172</v>
      </c>
      <c r="AI1" s="270" t="s">
        <v>2173</v>
      </c>
      <c r="AJ1" s="271" t="s">
        <v>2174</v>
      </c>
      <c r="AK1" s="271" t="s">
        <v>2019</v>
      </c>
      <c r="AO1" t="s">
        <v>2179</v>
      </c>
    </row>
    <row r="2" spans="1:46" ht="15.5">
      <c r="B2" t="s">
        <v>2215</v>
      </c>
      <c r="C2" t="s">
        <v>2180</v>
      </c>
      <c r="D2" t="s">
        <v>2181</v>
      </c>
      <c r="E2" t="s">
        <v>2182</v>
      </c>
      <c r="F2" s="100" t="s">
        <v>2183</v>
      </c>
      <c r="G2" s="140" t="s">
        <v>2184</v>
      </c>
      <c r="H2" s="266" t="s">
        <v>2183</v>
      </c>
      <c r="I2" s="266" t="s">
        <v>2185</v>
      </c>
      <c r="J2" t="s">
        <v>2186</v>
      </c>
      <c r="K2" s="147" t="s">
        <v>262</v>
      </c>
      <c r="L2" s="147" t="s">
        <v>2187</v>
      </c>
      <c r="M2" t="s">
        <v>2186</v>
      </c>
      <c r="N2" s="147" t="s">
        <v>262</v>
      </c>
      <c r="O2" s="147" t="s">
        <v>2187</v>
      </c>
      <c r="P2" s="147"/>
      <c r="Q2" t="s">
        <v>2188</v>
      </c>
      <c r="U2" s="100" t="s">
        <v>2189</v>
      </c>
      <c r="V2" s="267" t="s">
        <v>2190</v>
      </c>
      <c r="W2" s="100" t="s">
        <v>2191</v>
      </c>
      <c r="X2" s="261" t="s">
        <v>2192</v>
      </c>
      <c r="Y2" s="268" t="s">
        <v>2193</v>
      </c>
      <c r="Z2" s="269" t="s">
        <v>2194</v>
      </c>
      <c r="AA2" s="269" t="s">
        <v>276</v>
      </c>
      <c r="AB2" s="269" t="s">
        <v>262</v>
      </c>
      <c r="AC2" s="270" t="s">
        <v>2186</v>
      </c>
      <c r="AD2" s="271" t="s">
        <v>262</v>
      </c>
      <c r="AE2" s="271" t="s">
        <v>2187</v>
      </c>
      <c r="AF2" s="97" t="s">
        <v>2195</v>
      </c>
      <c r="AG2" s="97" t="s">
        <v>2196</v>
      </c>
      <c r="AH2" s="97" t="s">
        <v>2196</v>
      </c>
      <c r="AI2" s="270" t="s">
        <v>2186</v>
      </c>
      <c r="AJ2" s="271" t="s">
        <v>262</v>
      </c>
      <c r="AK2" s="271" t="s">
        <v>2187</v>
      </c>
      <c r="AO2" t="s">
        <v>2197</v>
      </c>
    </row>
    <row r="3" spans="1:46">
      <c r="A3" s="70"/>
      <c r="B3" s="70"/>
      <c r="C3" s="176"/>
      <c r="D3" s="176"/>
      <c r="E3" s="70"/>
      <c r="F3" s="140" t="s">
        <v>276</v>
      </c>
      <c r="G3" s="140" t="s">
        <v>276</v>
      </c>
      <c r="H3" s="272"/>
      <c r="I3" s="272"/>
      <c r="J3" s="70" t="s">
        <v>2198</v>
      </c>
      <c r="K3" s="70" t="s">
        <v>2198</v>
      </c>
      <c r="L3" s="70" t="s">
        <v>2198</v>
      </c>
      <c r="M3" s="70" t="s">
        <v>2199</v>
      </c>
      <c r="N3" s="70" t="s">
        <v>2199</v>
      </c>
      <c r="O3" s="70" t="s">
        <v>2199</v>
      </c>
      <c r="P3" s="174"/>
      <c r="Q3" s="70"/>
      <c r="R3" s="70"/>
      <c r="S3" s="70"/>
      <c r="T3" s="70"/>
      <c r="U3" s="140" t="s">
        <v>276</v>
      </c>
      <c r="V3" s="267" t="s">
        <v>276</v>
      </c>
      <c r="W3" s="100" t="s">
        <v>276</v>
      </c>
      <c r="X3" s="261"/>
      <c r="Y3" s="100" t="s">
        <v>276</v>
      </c>
      <c r="Z3" s="1" t="s">
        <v>276</v>
      </c>
      <c r="AA3" s="1" t="s">
        <v>276</v>
      </c>
      <c r="AB3" s="1" t="s">
        <v>262</v>
      </c>
      <c r="AC3" s="70"/>
      <c r="AD3" s="70"/>
      <c r="AE3" s="70"/>
      <c r="AF3" s="97" t="s">
        <v>276</v>
      </c>
      <c r="AG3" s="97" t="s">
        <v>276</v>
      </c>
      <c r="AH3" s="97" t="s">
        <v>262</v>
      </c>
      <c r="AI3" s="70"/>
      <c r="AJ3" s="70"/>
      <c r="AK3" s="70"/>
      <c r="AL3" s="70"/>
      <c r="AM3" s="70"/>
      <c r="AN3" s="70"/>
      <c r="AO3" s="70" t="s">
        <v>2200</v>
      </c>
      <c r="AP3" s="70"/>
      <c r="AQ3" s="70"/>
      <c r="AR3" s="70"/>
      <c r="AS3" s="70"/>
      <c r="AT3" s="70"/>
    </row>
    <row r="4" spans="1:46">
      <c r="A4" s="70"/>
      <c r="B4" s="70"/>
      <c r="C4" s="176"/>
      <c r="D4" s="176"/>
      <c r="E4" s="70"/>
      <c r="F4" s="140"/>
      <c r="G4" s="140"/>
      <c r="H4" s="272"/>
      <c r="I4" s="272"/>
      <c r="J4" s="272"/>
      <c r="K4" s="272"/>
      <c r="L4" s="272"/>
      <c r="M4" s="70"/>
      <c r="N4" s="174"/>
      <c r="O4" s="174"/>
      <c r="P4" s="174"/>
      <c r="Q4" s="70"/>
      <c r="R4" s="70"/>
      <c r="S4" s="70"/>
      <c r="T4" s="70"/>
      <c r="U4" s="140"/>
      <c r="V4" s="267"/>
      <c r="W4" s="100"/>
      <c r="X4" s="261"/>
      <c r="Y4" s="100"/>
      <c r="Z4" s="70"/>
      <c r="AA4" s="70"/>
      <c r="AB4" s="70"/>
      <c r="AC4" s="70"/>
      <c r="AD4" s="70"/>
      <c r="AE4" s="70"/>
      <c r="AF4" s="97"/>
      <c r="AG4" s="97"/>
      <c r="AH4" s="97"/>
      <c r="AI4" s="70"/>
      <c r="AJ4" s="70"/>
      <c r="AK4" s="70"/>
      <c r="AL4" s="70"/>
      <c r="AM4" s="70"/>
      <c r="AN4" s="70"/>
      <c r="AO4" s="70"/>
      <c r="AP4" s="70"/>
      <c r="AQ4" s="70"/>
      <c r="AR4" s="70"/>
      <c r="AS4" s="70"/>
      <c r="AT4" s="70"/>
    </row>
    <row r="5" spans="1:46">
      <c r="A5" s="273" t="str">
        <f>main!A6</f>
        <v>Deployment 24/04/2021 IN2021_V02</v>
      </c>
      <c r="B5" s="273" t="str">
        <f>main!B6</f>
        <v>McLane-PARFLUX-Mark78H-21 ; frame# 2241, controller# 11640-01 and Motor # 11640-01 Cup set Dx21</v>
      </c>
      <c r="C5" s="273"/>
      <c r="D5" s="273"/>
      <c r="E5" s="273"/>
      <c r="F5" s="273"/>
      <c r="G5" s="273"/>
      <c r="H5" s="273"/>
      <c r="I5" s="273"/>
      <c r="J5" s="273"/>
      <c r="K5" s="273"/>
      <c r="L5" s="273"/>
      <c r="M5" s="273"/>
      <c r="N5" s="273"/>
      <c r="O5" s="273"/>
      <c r="P5" s="273"/>
      <c r="Q5" s="273"/>
      <c r="R5" s="273"/>
      <c r="S5" s="273"/>
      <c r="T5" s="273"/>
      <c r="U5" s="273"/>
      <c r="V5" s="274"/>
      <c r="W5" s="273"/>
      <c r="X5" s="275"/>
      <c r="Y5" s="273"/>
      <c r="Z5" s="273"/>
      <c r="AA5" s="273"/>
      <c r="AB5" s="273"/>
      <c r="AC5" s="273"/>
      <c r="AD5" s="273"/>
      <c r="AE5" s="273"/>
      <c r="AF5" s="273"/>
      <c r="AG5" s="273"/>
      <c r="AH5" s="273"/>
      <c r="AI5" s="273"/>
      <c r="AJ5" s="273"/>
      <c r="AK5" s="273"/>
      <c r="AL5" s="273"/>
      <c r="AM5" s="273"/>
      <c r="AN5" s="273"/>
      <c r="AO5" s="273"/>
      <c r="AP5" s="273"/>
      <c r="AQ5" s="273"/>
      <c r="AR5" s="273"/>
      <c r="AS5" s="273"/>
      <c r="AT5" s="273"/>
    </row>
    <row r="6" spans="1:46">
      <c r="A6">
        <v>2021</v>
      </c>
      <c r="B6" t="s">
        <v>43</v>
      </c>
      <c r="C6" t="s">
        <v>203</v>
      </c>
      <c r="D6">
        <v>4</v>
      </c>
      <c r="E6">
        <v>10</v>
      </c>
      <c r="F6">
        <v>40.909999999999997</v>
      </c>
      <c r="G6">
        <v>401.25</v>
      </c>
      <c r="H6" s="124">
        <v>44754</v>
      </c>
      <c r="I6" s="124">
        <v>44760</v>
      </c>
      <c r="J6" s="124">
        <v>44760</v>
      </c>
      <c r="K6" s="276" t="s">
        <v>2222</v>
      </c>
      <c r="L6" s="124" t="s">
        <v>2223</v>
      </c>
      <c r="M6" s="124">
        <v>44754</v>
      </c>
      <c r="P6" s="59" t="s">
        <v>2201</v>
      </c>
      <c r="Q6" s="59" t="s">
        <v>2216</v>
      </c>
      <c r="R6" t="s">
        <v>26</v>
      </c>
      <c r="S6" s="59" t="s">
        <v>2226</v>
      </c>
      <c r="U6">
        <f>G6-F6</f>
        <v>360.34000000000003</v>
      </c>
      <c r="V6" s="274">
        <f>((U6/7)*10)</f>
        <v>514.7714285714286</v>
      </c>
      <c r="W6">
        <f>U6/7</f>
        <v>51.477142857142859</v>
      </c>
      <c r="X6" s="277"/>
      <c r="Y6">
        <v>14968.25</v>
      </c>
      <c r="Z6" s="33"/>
      <c r="AA6" s="33"/>
      <c r="AB6" s="278"/>
      <c r="AC6" s="279"/>
      <c r="AD6" s="33"/>
      <c r="AE6" s="33"/>
      <c r="AF6" s="33"/>
      <c r="AG6" s="33"/>
      <c r="AH6" s="33"/>
      <c r="AI6" s="33"/>
      <c r="AJ6" s="33"/>
      <c r="AK6" s="33"/>
      <c r="AN6" s="59"/>
      <c r="AO6" s="59" t="s">
        <v>2202</v>
      </c>
      <c r="AP6" s="59"/>
      <c r="AQ6" s="59" t="s">
        <v>2203</v>
      </c>
      <c r="AR6" s="59"/>
      <c r="AS6" s="59" t="s">
        <v>2204</v>
      </c>
    </row>
    <row r="7" spans="1:46">
      <c r="A7">
        <v>2021</v>
      </c>
      <c r="B7" t="s">
        <v>43</v>
      </c>
      <c r="C7">
        <v>2</v>
      </c>
      <c r="D7">
        <v>4</v>
      </c>
      <c r="E7">
        <v>10</v>
      </c>
      <c r="F7">
        <v>41.72</v>
      </c>
      <c r="G7">
        <v>382.74</v>
      </c>
      <c r="H7" s="124">
        <v>44754</v>
      </c>
      <c r="I7" s="124">
        <v>44760</v>
      </c>
      <c r="J7" s="124">
        <v>44760</v>
      </c>
      <c r="K7" s="276" t="s">
        <v>2222</v>
      </c>
      <c r="L7" s="124" t="s">
        <v>2223</v>
      </c>
      <c r="M7" s="124">
        <v>44754</v>
      </c>
      <c r="P7" s="59" t="s">
        <v>2201</v>
      </c>
      <c r="Q7" s="59" t="s">
        <v>2216</v>
      </c>
      <c r="R7" t="s">
        <v>26</v>
      </c>
      <c r="S7" s="59" t="s">
        <v>2226</v>
      </c>
      <c r="U7">
        <f t="shared" ref="U7:U28" si="0">G7-F7</f>
        <v>341.02</v>
      </c>
      <c r="V7" s="274">
        <f t="shared" ref="V7:V28" si="1">((U7/7)*10)</f>
        <v>487.17142857142852</v>
      </c>
      <c r="W7">
        <f t="shared" ref="W7:W28" si="2">U7/7</f>
        <v>48.717142857142854</v>
      </c>
      <c r="X7" s="261"/>
      <c r="Y7">
        <v>14532.11</v>
      </c>
      <c r="Z7" s="33"/>
      <c r="AA7" s="33"/>
      <c r="AB7" s="280"/>
      <c r="AC7" s="33"/>
      <c r="AD7" s="33"/>
      <c r="AE7" s="33"/>
      <c r="AF7" s="33"/>
      <c r="AG7" s="33"/>
      <c r="AH7" s="33"/>
      <c r="AI7" s="33"/>
      <c r="AJ7" s="33"/>
      <c r="AK7" s="33"/>
      <c r="AN7" s="59"/>
      <c r="AO7" s="59"/>
      <c r="AP7" s="59"/>
      <c r="AQ7" s="59" t="s">
        <v>2224</v>
      </c>
      <c r="AR7" s="59"/>
      <c r="AS7" s="59" t="s">
        <v>2225</v>
      </c>
    </row>
    <row r="8" spans="1:46">
      <c r="A8">
        <v>2021</v>
      </c>
      <c r="B8" t="s">
        <v>43</v>
      </c>
      <c r="C8">
        <v>3</v>
      </c>
      <c r="D8">
        <v>4</v>
      </c>
      <c r="E8">
        <v>10</v>
      </c>
      <c r="F8">
        <v>39.979999999999997</v>
      </c>
      <c r="G8">
        <v>421.92</v>
      </c>
      <c r="H8" s="124">
        <v>44754</v>
      </c>
      <c r="I8" s="124">
        <v>44760</v>
      </c>
      <c r="J8" s="124">
        <v>44760</v>
      </c>
      <c r="K8" s="276" t="s">
        <v>2222</v>
      </c>
      <c r="L8" s="124" t="s">
        <v>2223</v>
      </c>
      <c r="M8" s="124">
        <v>44754</v>
      </c>
      <c r="P8" s="59" t="s">
        <v>2201</v>
      </c>
      <c r="Q8" s="59" t="s">
        <v>2216</v>
      </c>
      <c r="R8" t="s">
        <v>26</v>
      </c>
      <c r="S8" s="59" t="s">
        <v>2226</v>
      </c>
      <c r="U8">
        <f t="shared" si="0"/>
        <v>381.94</v>
      </c>
      <c r="V8" s="274">
        <f t="shared" si="1"/>
        <v>545.62857142857138</v>
      </c>
      <c r="W8">
        <f t="shared" si="2"/>
        <v>54.562857142857141</v>
      </c>
      <c r="X8" s="261"/>
      <c r="Y8">
        <v>15103.68</v>
      </c>
      <c r="Z8" s="33"/>
      <c r="AA8" s="33"/>
      <c r="AB8" s="280"/>
      <c r="AC8" s="33"/>
      <c r="AD8" s="33"/>
      <c r="AE8" s="33"/>
      <c r="AF8" s="33"/>
      <c r="AG8" s="33"/>
      <c r="AH8" s="278"/>
      <c r="AI8" s="279"/>
      <c r="AJ8" s="33"/>
      <c r="AK8" s="33"/>
      <c r="AN8" s="59"/>
      <c r="AO8" s="59" t="s">
        <v>2205</v>
      </c>
      <c r="AP8" s="59"/>
      <c r="AQ8" s="59" t="s">
        <v>2206</v>
      </c>
      <c r="AR8" s="59"/>
      <c r="AS8" s="59" t="s">
        <v>2207</v>
      </c>
    </row>
    <row r="9" spans="1:46">
      <c r="A9">
        <v>2021</v>
      </c>
      <c r="B9" t="s">
        <v>43</v>
      </c>
      <c r="C9">
        <v>4</v>
      </c>
      <c r="D9">
        <v>4</v>
      </c>
      <c r="E9">
        <v>10</v>
      </c>
      <c r="F9">
        <v>41.45</v>
      </c>
      <c r="G9">
        <v>416.49</v>
      </c>
      <c r="H9" s="124">
        <v>44754</v>
      </c>
      <c r="I9" s="124">
        <v>44760</v>
      </c>
      <c r="J9" s="124">
        <v>44760</v>
      </c>
      <c r="K9" s="276" t="s">
        <v>2222</v>
      </c>
      <c r="L9" s="124" t="s">
        <v>2223</v>
      </c>
      <c r="M9" s="124">
        <v>44754</v>
      </c>
      <c r="P9" s="59" t="s">
        <v>2201</v>
      </c>
      <c r="Q9" s="59" t="s">
        <v>2216</v>
      </c>
      <c r="R9" t="s">
        <v>26</v>
      </c>
      <c r="S9" s="59" t="s">
        <v>2226</v>
      </c>
      <c r="U9">
        <f t="shared" si="0"/>
        <v>375.04</v>
      </c>
      <c r="V9" s="274">
        <f t="shared" si="1"/>
        <v>535.7714285714286</v>
      </c>
      <c r="W9">
        <f t="shared" si="2"/>
        <v>53.57714285714286</v>
      </c>
      <c r="X9" s="261"/>
      <c r="Y9">
        <v>14491.76</v>
      </c>
      <c r="Z9" s="33"/>
      <c r="AA9" s="33"/>
      <c r="AB9" s="278"/>
      <c r="AC9" s="279"/>
      <c r="AD9" s="33"/>
      <c r="AE9" s="33"/>
      <c r="AF9" s="33"/>
      <c r="AG9" s="33"/>
      <c r="AH9" s="278"/>
      <c r="AI9" s="279"/>
      <c r="AJ9" s="33"/>
      <c r="AK9" s="33"/>
      <c r="AN9" s="59" t="s">
        <v>2208</v>
      </c>
      <c r="AO9" s="59">
        <v>10.01</v>
      </c>
      <c r="AP9" s="59"/>
      <c r="AQ9" s="59">
        <v>10.039999999999999</v>
      </c>
      <c r="AR9" s="59"/>
      <c r="AS9" s="59">
        <v>9.99</v>
      </c>
    </row>
    <row r="10" spans="1:46">
      <c r="A10">
        <v>2021</v>
      </c>
      <c r="B10" t="s">
        <v>43</v>
      </c>
      <c r="C10">
        <v>5</v>
      </c>
      <c r="D10">
        <v>4</v>
      </c>
      <c r="E10">
        <v>10</v>
      </c>
      <c r="F10">
        <v>41.15</v>
      </c>
      <c r="G10">
        <v>312.87</v>
      </c>
      <c r="H10" s="124">
        <v>44754</v>
      </c>
      <c r="I10" s="124">
        <v>44760</v>
      </c>
      <c r="J10" s="124">
        <v>44760</v>
      </c>
      <c r="K10" s="276" t="s">
        <v>2222</v>
      </c>
      <c r="L10" s="124" t="s">
        <v>2223</v>
      </c>
      <c r="M10" s="124">
        <v>44754</v>
      </c>
      <c r="P10" s="59" t="s">
        <v>2201</v>
      </c>
      <c r="Q10" s="59" t="s">
        <v>2216</v>
      </c>
      <c r="R10" t="s">
        <v>26</v>
      </c>
      <c r="S10" s="59" t="s">
        <v>2226</v>
      </c>
      <c r="U10">
        <f t="shared" si="0"/>
        <v>271.72000000000003</v>
      </c>
      <c r="V10" s="274">
        <f t="shared" si="1"/>
        <v>388.17142857142863</v>
      </c>
      <c r="W10">
        <f t="shared" si="2"/>
        <v>38.817142857142862</v>
      </c>
      <c r="X10" s="261"/>
      <c r="Y10">
        <v>15134.02</v>
      </c>
      <c r="AN10" s="59" t="s">
        <v>2209</v>
      </c>
      <c r="AO10" s="59">
        <v>99.93</v>
      </c>
      <c r="AP10" s="59"/>
      <c r="AQ10" s="59">
        <v>99.95</v>
      </c>
      <c r="AR10" s="59"/>
      <c r="AS10" s="59">
        <v>99.91</v>
      </c>
    </row>
    <row r="11" spans="1:46">
      <c r="A11">
        <v>2021</v>
      </c>
      <c r="B11" t="s">
        <v>43</v>
      </c>
      <c r="C11">
        <v>6</v>
      </c>
      <c r="D11">
        <v>4</v>
      </c>
      <c r="E11">
        <v>10</v>
      </c>
      <c r="F11">
        <v>41.87</v>
      </c>
      <c r="G11">
        <v>230.8</v>
      </c>
      <c r="H11" s="124">
        <v>44754</v>
      </c>
      <c r="I11" s="124">
        <v>44760</v>
      </c>
      <c r="J11" s="124">
        <v>44760</v>
      </c>
      <c r="K11" s="276" t="s">
        <v>2222</v>
      </c>
      <c r="L11" s="124" t="s">
        <v>2223</v>
      </c>
      <c r="M11" s="124">
        <v>44754</v>
      </c>
      <c r="P11" s="59" t="s">
        <v>2201</v>
      </c>
      <c r="Q11" s="59" t="s">
        <v>2216</v>
      </c>
      <c r="R11" t="s">
        <v>26</v>
      </c>
      <c r="S11" s="59" t="s">
        <v>2226</v>
      </c>
      <c r="U11">
        <f t="shared" si="0"/>
        <v>188.93</v>
      </c>
      <c r="V11" s="274">
        <f t="shared" si="1"/>
        <v>269.90000000000003</v>
      </c>
      <c r="W11">
        <f t="shared" si="2"/>
        <v>26.990000000000002</v>
      </c>
      <c r="X11" s="261"/>
      <c r="Y11">
        <v>14587.36</v>
      </c>
      <c r="AN11" s="59" t="s">
        <v>2210</v>
      </c>
      <c r="AO11" s="59">
        <v>200.04</v>
      </c>
      <c r="AP11" s="59"/>
      <c r="AQ11" s="59">
        <v>200.05</v>
      </c>
      <c r="AR11" s="59"/>
      <c r="AS11" s="59">
        <v>200.02</v>
      </c>
    </row>
    <row r="12" spans="1:46">
      <c r="A12">
        <v>2021</v>
      </c>
      <c r="B12" t="s">
        <v>43</v>
      </c>
      <c r="C12">
        <v>7</v>
      </c>
      <c r="D12">
        <v>4</v>
      </c>
      <c r="E12">
        <v>10</v>
      </c>
      <c r="F12">
        <v>40.36</v>
      </c>
      <c r="G12">
        <v>188.73</v>
      </c>
      <c r="H12" s="124">
        <v>44754</v>
      </c>
      <c r="I12" s="124">
        <v>44760</v>
      </c>
      <c r="J12" s="124">
        <v>44760</v>
      </c>
      <c r="K12" s="276" t="s">
        <v>2222</v>
      </c>
      <c r="L12" s="124" t="s">
        <v>2223</v>
      </c>
      <c r="M12" s="124">
        <v>44754</v>
      </c>
      <c r="P12" s="59" t="s">
        <v>2201</v>
      </c>
      <c r="Q12" s="59" t="s">
        <v>2216</v>
      </c>
      <c r="R12" t="s">
        <v>26</v>
      </c>
      <c r="S12" s="59" t="s">
        <v>2226</v>
      </c>
      <c r="U12">
        <f t="shared" si="0"/>
        <v>148.37</v>
      </c>
      <c r="V12" s="274">
        <f t="shared" si="1"/>
        <v>211.95714285714286</v>
      </c>
      <c r="W12">
        <f t="shared" si="2"/>
        <v>21.195714285714285</v>
      </c>
      <c r="X12" s="261"/>
      <c r="Y12">
        <v>14603.2</v>
      </c>
      <c r="AN12" s="59" t="s">
        <v>2211</v>
      </c>
      <c r="AO12" s="59">
        <v>500.07</v>
      </c>
      <c r="AP12" s="59"/>
      <c r="AQ12" s="59">
        <v>500.06</v>
      </c>
      <c r="AR12" s="59"/>
      <c r="AS12" s="59">
        <v>500.05</v>
      </c>
    </row>
    <row r="13" spans="1:46">
      <c r="A13">
        <v>2021</v>
      </c>
      <c r="B13" t="s">
        <v>43</v>
      </c>
      <c r="C13">
        <v>8</v>
      </c>
      <c r="D13">
        <v>4</v>
      </c>
      <c r="E13">
        <v>10</v>
      </c>
      <c r="F13">
        <v>39.49</v>
      </c>
      <c r="G13">
        <v>278.76</v>
      </c>
      <c r="H13" s="124">
        <v>44754</v>
      </c>
      <c r="I13" s="124">
        <v>44760</v>
      </c>
      <c r="J13" s="124">
        <v>44760</v>
      </c>
      <c r="K13" s="276" t="s">
        <v>2222</v>
      </c>
      <c r="L13" s="124" t="s">
        <v>2223</v>
      </c>
      <c r="M13" s="124">
        <v>44754</v>
      </c>
      <c r="P13" s="59" t="s">
        <v>2201</v>
      </c>
      <c r="Q13" s="59" t="s">
        <v>2216</v>
      </c>
      <c r="R13" t="s">
        <v>26</v>
      </c>
      <c r="S13" s="59" t="s">
        <v>2226</v>
      </c>
      <c r="U13">
        <f t="shared" si="0"/>
        <v>239.26999999999998</v>
      </c>
      <c r="V13" s="274">
        <f t="shared" si="1"/>
        <v>341.81428571428569</v>
      </c>
      <c r="W13">
        <f t="shared" si="2"/>
        <v>34.181428571428569</v>
      </c>
      <c r="X13" s="261"/>
      <c r="Y13">
        <v>14654.66</v>
      </c>
      <c r="AN13" s="59" t="s">
        <v>2212</v>
      </c>
      <c r="AO13" s="59">
        <v>1000.09</v>
      </c>
      <c r="AP13" s="59"/>
      <c r="AQ13" s="59">
        <v>1000.1</v>
      </c>
      <c r="AR13" s="59"/>
      <c r="AS13" s="59">
        <v>1000.06</v>
      </c>
    </row>
    <row r="14" spans="1:46">
      <c r="A14">
        <v>2021</v>
      </c>
      <c r="B14" t="s">
        <v>43</v>
      </c>
      <c r="C14">
        <v>9</v>
      </c>
      <c r="D14">
        <v>4</v>
      </c>
      <c r="E14">
        <v>10</v>
      </c>
      <c r="F14">
        <v>41.75</v>
      </c>
      <c r="G14">
        <v>423.73</v>
      </c>
      <c r="H14" s="124">
        <v>44754</v>
      </c>
      <c r="I14" s="124">
        <v>44760</v>
      </c>
      <c r="J14" s="124">
        <v>44760</v>
      </c>
      <c r="K14" s="276" t="s">
        <v>2222</v>
      </c>
      <c r="L14" s="124" t="s">
        <v>2223</v>
      </c>
      <c r="M14" s="124">
        <v>44754</v>
      </c>
      <c r="P14" s="59" t="s">
        <v>2201</v>
      </c>
      <c r="Q14" s="59" t="s">
        <v>2216</v>
      </c>
      <c r="R14" t="s">
        <v>26</v>
      </c>
      <c r="S14" s="59" t="s">
        <v>2226</v>
      </c>
      <c r="U14">
        <f t="shared" si="0"/>
        <v>381.98</v>
      </c>
      <c r="V14" s="274">
        <f t="shared" si="1"/>
        <v>545.68571428571431</v>
      </c>
      <c r="W14">
        <f t="shared" si="2"/>
        <v>54.568571428571431</v>
      </c>
      <c r="X14" s="261"/>
      <c r="Y14">
        <v>14595.7</v>
      </c>
      <c r="AN14" s="59" t="s">
        <v>2213</v>
      </c>
      <c r="AO14" s="59">
        <v>10000.26</v>
      </c>
      <c r="AP14" s="59"/>
      <c r="AQ14" s="59">
        <v>10000.19</v>
      </c>
      <c r="AR14" s="59"/>
      <c r="AS14" s="59">
        <v>10000.15</v>
      </c>
    </row>
    <row r="15" spans="1:46">
      <c r="A15">
        <v>2021</v>
      </c>
      <c r="B15" t="s">
        <v>43</v>
      </c>
      <c r="C15">
        <v>10</v>
      </c>
      <c r="D15">
        <v>4</v>
      </c>
      <c r="E15">
        <v>10</v>
      </c>
      <c r="F15">
        <v>41.08</v>
      </c>
      <c r="G15">
        <v>350.68</v>
      </c>
      <c r="H15" s="124">
        <v>44754</v>
      </c>
      <c r="I15" s="124">
        <v>44760</v>
      </c>
      <c r="J15" s="124">
        <v>44760</v>
      </c>
      <c r="K15" s="276" t="s">
        <v>2222</v>
      </c>
      <c r="L15" s="124" t="s">
        <v>2223</v>
      </c>
      <c r="M15" s="124">
        <v>44754</v>
      </c>
      <c r="P15" s="59" t="s">
        <v>2201</v>
      </c>
      <c r="Q15" s="59" t="s">
        <v>2216</v>
      </c>
      <c r="R15" t="s">
        <v>26</v>
      </c>
      <c r="S15" s="59" t="s">
        <v>2226</v>
      </c>
      <c r="U15">
        <f t="shared" si="0"/>
        <v>309.60000000000002</v>
      </c>
      <c r="V15" s="274">
        <f t="shared" si="1"/>
        <v>442.28571428571433</v>
      </c>
      <c r="W15">
        <f t="shared" si="2"/>
        <v>44.228571428571435</v>
      </c>
      <c r="X15" s="261"/>
      <c r="Y15">
        <v>14943.63</v>
      </c>
      <c r="AN15" s="59" t="s">
        <v>2214</v>
      </c>
      <c r="AO15" s="59">
        <v>50001.01</v>
      </c>
      <c r="AP15" s="59"/>
      <c r="AQ15" s="59">
        <v>50000.9</v>
      </c>
      <c r="AR15" s="59"/>
      <c r="AS15" s="59">
        <v>50000.93</v>
      </c>
    </row>
    <row r="16" spans="1:46">
      <c r="A16">
        <v>2021</v>
      </c>
      <c r="B16" t="s">
        <v>43</v>
      </c>
      <c r="C16">
        <v>11</v>
      </c>
      <c r="D16">
        <v>4</v>
      </c>
      <c r="E16">
        <v>10</v>
      </c>
      <c r="F16">
        <v>40.94</v>
      </c>
      <c r="G16">
        <v>537.80999999999995</v>
      </c>
      <c r="H16" s="124">
        <v>44754</v>
      </c>
      <c r="I16" s="124">
        <v>44760</v>
      </c>
      <c r="J16" s="124">
        <v>44760</v>
      </c>
      <c r="K16" s="276" t="s">
        <v>2222</v>
      </c>
      <c r="L16" s="124" t="s">
        <v>2223</v>
      </c>
      <c r="M16" s="124">
        <v>44754</v>
      </c>
      <c r="P16" s="59" t="s">
        <v>2201</v>
      </c>
      <c r="Q16" s="59" t="s">
        <v>2216</v>
      </c>
      <c r="R16" t="s">
        <v>26</v>
      </c>
      <c r="S16" s="59" t="s">
        <v>2226</v>
      </c>
      <c r="U16">
        <f t="shared" si="0"/>
        <v>496.86999999999995</v>
      </c>
      <c r="V16" s="274">
        <f t="shared" si="1"/>
        <v>709.81428571428569</v>
      </c>
      <c r="W16">
        <f t="shared" si="2"/>
        <v>70.981428571428566</v>
      </c>
      <c r="Y16">
        <v>15131.05</v>
      </c>
      <c r="AN16" s="59"/>
      <c r="AO16" s="59"/>
      <c r="AP16" s="59"/>
      <c r="AQ16" s="59"/>
      <c r="AR16" s="59"/>
      <c r="AS16" s="59"/>
    </row>
    <row r="17" spans="1:46" s="281" customFormat="1">
      <c r="A17" s="281">
        <v>2021</v>
      </c>
      <c r="B17" s="281" t="s">
        <v>43</v>
      </c>
      <c r="C17" s="281" t="s">
        <v>2217</v>
      </c>
      <c r="D17" s="281">
        <v>4</v>
      </c>
      <c r="E17" s="281">
        <v>7</v>
      </c>
      <c r="F17" s="281">
        <v>41.35</v>
      </c>
      <c r="G17" s="281">
        <v>389.63</v>
      </c>
      <c r="H17" s="282">
        <v>44754</v>
      </c>
      <c r="I17" s="282">
        <v>44760</v>
      </c>
      <c r="J17" s="282">
        <v>44760</v>
      </c>
      <c r="K17" s="283" t="s">
        <v>2222</v>
      </c>
      <c r="L17" s="282" t="s">
        <v>2223</v>
      </c>
      <c r="M17" s="282">
        <v>44754</v>
      </c>
      <c r="P17" s="284" t="s">
        <v>2201</v>
      </c>
      <c r="Q17" s="284" t="s">
        <v>2216</v>
      </c>
      <c r="R17" s="281" t="s">
        <v>26</v>
      </c>
      <c r="S17" s="59" t="s">
        <v>2226</v>
      </c>
      <c r="U17" s="281">
        <f>G17-F17</f>
        <v>348.28</v>
      </c>
      <c r="V17" s="281">
        <f>((U17+U18)/7)*10</f>
        <v>856.17142857142858</v>
      </c>
      <c r="W17" s="281">
        <f>U17/4</f>
        <v>87.07</v>
      </c>
      <c r="X17" s="257">
        <f>ABS(W17-W18)</f>
        <v>3.3900000000000006</v>
      </c>
      <c r="Y17" s="281">
        <v>15018.79</v>
      </c>
    </row>
    <row r="18" spans="1:46" s="281" customFormat="1">
      <c r="A18" s="281">
        <v>2021</v>
      </c>
      <c r="B18" s="281" t="s">
        <v>43</v>
      </c>
      <c r="C18" s="281" t="s">
        <v>2218</v>
      </c>
      <c r="D18" s="281">
        <v>8</v>
      </c>
      <c r="E18" s="281">
        <v>10</v>
      </c>
      <c r="F18" s="281">
        <v>41.48</v>
      </c>
      <c r="G18" s="281">
        <v>292.52</v>
      </c>
      <c r="H18" s="282">
        <v>44754</v>
      </c>
      <c r="I18" s="282">
        <v>44760</v>
      </c>
      <c r="J18" s="282">
        <v>44760</v>
      </c>
      <c r="K18" s="283" t="s">
        <v>2222</v>
      </c>
      <c r="L18" s="282" t="s">
        <v>2223</v>
      </c>
      <c r="M18" s="282">
        <v>44754</v>
      </c>
      <c r="P18" s="284" t="s">
        <v>2201</v>
      </c>
      <c r="Q18" s="284" t="s">
        <v>2216</v>
      </c>
      <c r="R18" s="281" t="s">
        <v>26</v>
      </c>
      <c r="S18" s="59" t="s">
        <v>2226</v>
      </c>
      <c r="U18" s="281">
        <f>G18-F18</f>
        <v>251.04</v>
      </c>
      <c r="W18" s="281">
        <f>U18/3</f>
        <v>83.679999999999993</v>
      </c>
      <c r="X18" s="285">
        <f>X17/SUM(U17,U18)</f>
        <v>5.6564105986785041E-3</v>
      </c>
    </row>
    <row r="19" spans="1:46">
      <c r="A19">
        <v>2021</v>
      </c>
      <c r="B19" t="s">
        <v>43</v>
      </c>
      <c r="C19">
        <v>13</v>
      </c>
      <c r="D19">
        <v>4</v>
      </c>
      <c r="E19">
        <v>10</v>
      </c>
      <c r="F19">
        <v>41.64</v>
      </c>
      <c r="G19">
        <v>708.72</v>
      </c>
      <c r="H19" s="124">
        <v>44754</v>
      </c>
      <c r="I19" s="124">
        <v>44760</v>
      </c>
      <c r="J19" s="124">
        <v>44760</v>
      </c>
      <c r="K19" s="276" t="s">
        <v>2222</v>
      </c>
      <c r="L19" s="124" t="s">
        <v>2223</v>
      </c>
      <c r="M19" s="124">
        <v>44754</v>
      </c>
      <c r="P19" s="59" t="s">
        <v>2201</v>
      </c>
      <c r="Q19" s="59" t="s">
        <v>2216</v>
      </c>
      <c r="R19" t="s">
        <v>26</v>
      </c>
      <c r="S19" s="59" t="s">
        <v>2226</v>
      </c>
      <c r="U19">
        <f t="shared" si="0"/>
        <v>667.08</v>
      </c>
      <c r="V19" s="274">
        <f t="shared" si="1"/>
        <v>952.97142857142853</v>
      </c>
      <c r="W19">
        <f t="shared" si="2"/>
        <v>95.297142857142859</v>
      </c>
      <c r="Y19">
        <v>15028.6</v>
      </c>
    </row>
    <row r="20" spans="1:46">
      <c r="A20">
        <v>2021</v>
      </c>
      <c r="B20" t="s">
        <v>43</v>
      </c>
      <c r="C20">
        <v>14</v>
      </c>
      <c r="D20">
        <v>4</v>
      </c>
      <c r="E20">
        <v>10</v>
      </c>
      <c r="F20">
        <v>40.770000000000003</v>
      </c>
      <c r="G20">
        <v>600.62</v>
      </c>
      <c r="H20" s="124">
        <v>44754</v>
      </c>
      <c r="I20" s="124">
        <v>44760</v>
      </c>
      <c r="J20" s="124">
        <v>44760</v>
      </c>
      <c r="K20" s="276" t="s">
        <v>2222</v>
      </c>
      <c r="L20" s="124" t="s">
        <v>2223</v>
      </c>
      <c r="M20" s="124">
        <v>44754</v>
      </c>
      <c r="P20" s="59" t="s">
        <v>2201</v>
      </c>
      <c r="Q20" s="59" t="s">
        <v>2216</v>
      </c>
      <c r="R20" t="s">
        <v>26</v>
      </c>
      <c r="S20" s="59" t="s">
        <v>2226</v>
      </c>
      <c r="U20">
        <f t="shared" si="0"/>
        <v>559.85</v>
      </c>
      <c r="V20" s="274">
        <f t="shared" si="1"/>
        <v>799.78571428571422</v>
      </c>
      <c r="W20">
        <f t="shared" si="2"/>
        <v>79.978571428571428</v>
      </c>
      <c r="Y20">
        <v>15029.63</v>
      </c>
    </row>
    <row r="21" spans="1:46">
      <c r="A21">
        <v>2021</v>
      </c>
      <c r="B21" t="s">
        <v>43</v>
      </c>
      <c r="C21">
        <v>15</v>
      </c>
      <c r="D21">
        <v>4</v>
      </c>
      <c r="E21">
        <v>10</v>
      </c>
      <c r="F21">
        <v>42.16</v>
      </c>
      <c r="G21">
        <v>756.61</v>
      </c>
      <c r="H21" s="124">
        <v>44755</v>
      </c>
      <c r="I21" s="124">
        <v>44760</v>
      </c>
      <c r="J21" s="124">
        <v>44760</v>
      </c>
      <c r="K21" s="276" t="s">
        <v>2222</v>
      </c>
      <c r="L21" s="124" t="s">
        <v>2223</v>
      </c>
      <c r="M21" s="124">
        <v>44754</v>
      </c>
      <c r="P21" s="59" t="s">
        <v>2201</v>
      </c>
      <c r="Q21" s="59" t="s">
        <v>2216</v>
      </c>
      <c r="R21" t="s">
        <v>26</v>
      </c>
      <c r="S21" s="59" t="s">
        <v>2227</v>
      </c>
      <c r="U21">
        <f t="shared" si="0"/>
        <v>714.45</v>
      </c>
      <c r="V21" s="274">
        <f t="shared" si="1"/>
        <v>1020.6428571428571</v>
      </c>
      <c r="W21">
        <f t="shared" si="2"/>
        <v>102.06428571428572</v>
      </c>
      <c r="Y21">
        <v>14537.6</v>
      </c>
    </row>
    <row r="22" spans="1:46" s="281" customFormat="1">
      <c r="A22" s="281">
        <v>2021</v>
      </c>
      <c r="B22" s="281" t="s">
        <v>43</v>
      </c>
      <c r="C22" s="281" t="s">
        <v>2219</v>
      </c>
      <c r="D22" s="281">
        <v>4</v>
      </c>
      <c r="E22" s="281">
        <v>7</v>
      </c>
      <c r="F22" s="281">
        <v>41.32</v>
      </c>
      <c r="G22" s="281">
        <v>795.21</v>
      </c>
      <c r="H22" s="282">
        <v>44755</v>
      </c>
      <c r="I22" s="282">
        <v>44760</v>
      </c>
      <c r="J22" s="282">
        <v>44760</v>
      </c>
      <c r="K22" s="283" t="s">
        <v>2222</v>
      </c>
      <c r="L22" s="282" t="s">
        <v>2223</v>
      </c>
      <c r="M22" s="282">
        <v>44754</v>
      </c>
      <c r="P22" s="284" t="s">
        <v>2201</v>
      </c>
      <c r="Q22" s="284" t="s">
        <v>2216</v>
      </c>
      <c r="R22" s="281" t="s">
        <v>26</v>
      </c>
      <c r="S22" s="59" t="s">
        <v>2227</v>
      </c>
      <c r="U22" s="281">
        <f t="shared" si="0"/>
        <v>753.89</v>
      </c>
      <c r="V22" s="281">
        <f>((U22+U23)/7)*10</f>
        <v>1866.1142857142859</v>
      </c>
      <c r="W22" s="281">
        <f>U22/4</f>
        <v>188.4725</v>
      </c>
      <c r="X22" s="257">
        <f>ABS(W22-W23)</f>
        <v>4.3425000000000011</v>
      </c>
      <c r="Y22" s="281">
        <v>15120.23</v>
      </c>
    </row>
    <row r="23" spans="1:46" s="281" customFormat="1">
      <c r="A23" s="281">
        <v>2021</v>
      </c>
      <c r="B23" s="281" t="s">
        <v>43</v>
      </c>
      <c r="C23" s="281" t="s">
        <v>2220</v>
      </c>
      <c r="D23" s="281">
        <v>8</v>
      </c>
      <c r="E23" s="281">
        <v>10</v>
      </c>
      <c r="F23" s="281">
        <v>40.74</v>
      </c>
      <c r="G23" s="281">
        <v>593.13</v>
      </c>
      <c r="H23" s="282">
        <v>44755</v>
      </c>
      <c r="I23" s="282">
        <v>44760</v>
      </c>
      <c r="J23" s="282">
        <v>44760</v>
      </c>
      <c r="K23" s="283" t="s">
        <v>2222</v>
      </c>
      <c r="L23" s="282" t="s">
        <v>2223</v>
      </c>
      <c r="M23" s="282">
        <v>44754</v>
      </c>
      <c r="P23" s="284" t="s">
        <v>2201</v>
      </c>
      <c r="Q23" s="284" t="s">
        <v>2216</v>
      </c>
      <c r="R23" s="281" t="s">
        <v>26</v>
      </c>
      <c r="S23" s="59" t="s">
        <v>2227</v>
      </c>
      <c r="U23" s="281">
        <f t="shared" si="0"/>
        <v>552.39</v>
      </c>
      <c r="W23" s="281">
        <f>U23/3</f>
        <v>184.13</v>
      </c>
      <c r="X23" s="285">
        <f>X22/SUM(U22,U23)</f>
        <v>3.3243255657286349E-3</v>
      </c>
    </row>
    <row r="24" spans="1:46">
      <c r="A24">
        <v>2021</v>
      </c>
      <c r="B24" t="s">
        <v>43</v>
      </c>
      <c r="C24">
        <v>17</v>
      </c>
      <c r="D24">
        <v>4</v>
      </c>
      <c r="E24">
        <v>10</v>
      </c>
      <c r="F24">
        <v>41.21</v>
      </c>
      <c r="G24">
        <v>476.91</v>
      </c>
      <c r="H24" s="124">
        <v>44755</v>
      </c>
      <c r="I24" s="124">
        <v>44760</v>
      </c>
      <c r="J24" s="124">
        <v>44760</v>
      </c>
      <c r="K24" s="276" t="s">
        <v>2222</v>
      </c>
      <c r="L24" s="124" t="s">
        <v>2223</v>
      </c>
      <c r="M24" s="124">
        <v>44754</v>
      </c>
      <c r="P24" s="59" t="s">
        <v>2201</v>
      </c>
      <c r="Q24" s="59" t="s">
        <v>2216</v>
      </c>
      <c r="R24" t="s">
        <v>26</v>
      </c>
      <c r="S24" s="59" t="s">
        <v>2227</v>
      </c>
      <c r="U24">
        <f t="shared" si="0"/>
        <v>435.70000000000005</v>
      </c>
      <c r="V24" s="274">
        <f t="shared" si="1"/>
        <v>622.42857142857144</v>
      </c>
      <c r="W24">
        <f t="shared" si="2"/>
        <v>62.242857142857147</v>
      </c>
      <c r="Y24">
        <v>14902.22</v>
      </c>
    </row>
    <row r="25" spans="1:46">
      <c r="A25">
        <v>2021</v>
      </c>
      <c r="B25" t="s">
        <v>43</v>
      </c>
      <c r="C25">
        <v>18</v>
      </c>
      <c r="D25">
        <v>4</v>
      </c>
      <c r="E25">
        <v>10</v>
      </c>
      <c r="F25">
        <v>42.58</v>
      </c>
      <c r="G25">
        <v>368.47</v>
      </c>
      <c r="H25" s="124">
        <v>44755</v>
      </c>
      <c r="I25" s="124">
        <v>44760</v>
      </c>
      <c r="J25" s="124">
        <v>44760</v>
      </c>
      <c r="K25" s="276" t="s">
        <v>2222</v>
      </c>
      <c r="L25" s="124" t="s">
        <v>2223</v>
      </c>
      <c r="M25" s="124">
        <v>44754</v>
      </c>
      <c r="P25" s="59" t="s">
        <v>2201</v>
      </c>
      <c r="Q25" s="59" t="s">
        <v>2216</v>
      </c>
      <c r="R25" t="s">
        <v>26</v>
      </c>
      <c r="S25" s="59" t="s">
        <v>2227</v>
      </c>
      <c r="U25">
        <f t="shared" si="0"/>
        <v>325.89000000000004</v>
      </c>
      <c r="V25" s="274">
        <f t="shared" si="1"/>
        <v>465.55714285714294</v>
      </c>
      <c r="W25">
        <f t="shared" si="2"/>
        <v>46.555714285714295</v>
      </c>
      <c r="Y25">
        <v>14572.12</v>
      </c>
    </row>
    <row r="26" spans="1:46">
      <c r="A26">
        <v>2021</v>
      </c>
      <c r="B26" t="s">
        <v>43</v>
      </c>
      <c r="C26">
        <v>19</v>
      </c>
      <c r="D26">
        <v>4</v>
      </c>
      <c r="E26">
        <v>10</v>
      </c>
      <c r="F26">
        <v>41.6</v>
      </c>
      <c r="G26">
        <v>174.02</v>
      </c>
      <c r="H26" s="124">
        <v>44755</v>
      </c>
      <c r="I26" s="124">
        <v>44760</v>
      </c>
      <c r="J26" s="124">
        <v>44760</v>
      </c>
      <c r="K26" s="276" t="s">
        <v>2222</v>
      </c>
      <c r="L26" s="124" t="s">
        <v>2223</v>
      </c>
      <c r="M26" s="124">
        <v>44754</v>
      </c>
      <c r="P26" s="59" t="s">
        <v>2201</v>
      </c>
      <c r="Q26" s="59" t="s">
        <v>2216</v>
      </c>
      <c r="R26" t="s">
        <v>26</v>
      </c>
      <c r="S26" s="59" t="s">
        <v>2227</v>
      </c>
      <c r="U26">
        <f t="shared" si="0"/>
        <v>132.42000000000002</v>
      </c>
      <c r="V26" s="274">
        <f t="shared" si="1"/>
        <v>189.17142857142861</v>
      </c>
      <c r="W26">
        <f t="shared" si="2"/>
        <v>18.91714285714286</v>
      </c>
      <c r="Y26">
        <v>15004.07</v>
      </c>
    </row>
    <row r="27" spans="1:46">
      <c r="A27">
        <v>2021</v>
      </c>
      <c r="B27" t="s">
        <v>43</v>
      </c>
      <c r="C27">
        <v>20</v>
      </c>
      <c r="D27">
        <v>4</v>
      </c>
      <c r="E27">
        <v>10</v>
      </c>
      <c r="F27">
        <v>39.840000000000003</v>
      </c>
      <c r="G27">
        <v>107.32</v>
      </c>
      <c r="H27" s="124">
        <v>44755</v>
      </c>
      <c r="I27" s="124">
        <v>44760</v>
      </c>
      <c r="J27" s="124">
        <v>44760</v>
      </c>
      <c r="K27" s="276" t="s">
        <v>2222</v>
      </c>
      <c r="L27" s="124" t="s">
        <v>2223</v>
      </c>
      <c r="M27" s="124">
        <v>44754</v>
      </c>
      <c r="P27" s="59" t="s">
        <v>2201</v>
      </c>
      <c r="Q27" s="59" t="s">
        <v>2216</v>
      </c>
      <c r="R27" t="s">
        <v>26</v>
      </c>
      <c r="S27" s="59" t="s">
        <v>2227</v>
      </c>
      <c r="U27">
        <f t="shared" si="0"/>
        <v>67.47999999999999</v>
      </c>
      <c r="V27" s="274">
        <f t="shared" si="1"/>
        <v>96.399999999999991</v>
      </c>
      <c r="W27">
        <f t="shared" si="2"/>
        <v>9.6399999999999988</v>
      </c>
      <c r="Y27">
        <v>14611.05</v>
      </c>
    </row>
    <row r="28" spans="1:46">
      <c r="A28">
        <v>2021</v>
      </c>
      <c r="B28" t="s">
        <v>43</v>
      </c>
      <c r="C28">
        <v>21</v>
      </c>
      <c r="D28">
        <v>4</v>
      </c>
      <c r="E28">
        <v>10</v>
      </c>
      <c r="F28">
        <v>40.840000000000003</v>
      </c>
      <c r="G28">
        <v>184.5</v>
      </c>
      <c r="H28" s="124">
        <v>44755</v>
      </c>
      <c r="I28" s="124">
        <v>44760</v>
      </c>
      <c r="J28" s="124">
        <v>44760</v>
      </c>
      <c r="K28" s="276" t="s">
        <v>2222</v>
      </c>
      <c r="L28" s="124" t="s">
        <v>2223</v>
      </c>
      <c r="M28" s="124">
        <v>44754</v>
      </c>
      <c r="P28" s="59" t="s">
        <v>2201</v>
      </c>
      <c r="Q28" s="59" t="s">
        <v>2216</v>
      </c>
      <c r="R28" t="s">
        <v>26</v>
      </c>
      <c r="S28" s="59" t="s">
        <v>2227</v>
      </c>
      <c r="U28">
        <f t="shared" si="0"/>
        <v>143.66</v>
      </c>
      <c r="V28" s="274">
        <f t="shared" si="1"/>
        <v>205.2285714285714</v>
      </c>
      <c r="W28">
        <f t="shared" si="2"/>
        <v>20.522857142857141</v>
      </c>
      <c r="Y28">
        <v>14483.93</v>
      </c>
    </row>
    <row r="30" spans="1:46">
      <c r="A30" s="273" t="str">
        <f>main!A30</f>
        <v>Deployment 24/04/2021 IN2021_V02</v>
      </c>
      <c r="B30" s="273" t="str">
        <f>main!B30</f>
        <v>McLane-PARFLUX-Mark78H-21 ; frame# 14182, funnel# 874, controller# 11741-01 and Motor # 14182-02 Cup set Ex21</v>
      </c>
      <c r="C30" s="273"/>
      <c r="D30" s="273"/>
      <c r="E30" s="273"/>
      <c r="F30" s="273"/>
      <c r="G30" s="273"/>
      <c r="H30" s="273"/>
      <c r="I30" s="273"/>
      <c r="J30" s="273"/>
      <c r="K30" s="273"/>
      <c r="L30" s="273"/>
      <c r="M30" s="273"/>
      <c r="N30" s="273"/>
      <c r="O30" s="273"/>
      <c r="P30" s="273"/>
      <c r="Q30" s="273"/>
      <c r="R30" s="273"/>
      <c r="S30" s="273"/>
      <c r="T30" s="273"/>
      <c r="U30" s="273"/>
      <c r="V30" s="274"/>
      <c r="W30" s="273"/>
      <c r="X30" s="275"/>
      <c r="Y30" s="273"/>
      <c r="Z30" s="273"/>
      <c r="AA30" s="273"/>
      <c r="AB30" s="273"/>
      <c r="AC30" s="273"/>
      <c r="AD30" s="273"/>
      <c r="AE30" s="273"/>
      <c r="AF30" s="273"/>
      <c r="AG30" s="273"/>
      <c r="AH30" s="273"/>
      <c r="AI30" s="273"/>
      <c r="AJ30" s="273"/>
      <c r="AK30" s="273"/>
      <c r="AL30" s="273"/>
      <c r="AM30" s="273"/>
      <c r="AN30" s="273"/>
      <c r="AO30" s="273"/>
      <c r="AP30" s="273"/>
      <c r="AQ30" s="273"/>
      <c r="AR30" s="273"/>
      <c r="AS30" s="273"/>
      <c r="AT30" s="273"/>
    </row>
    <row r="31" spans="1:46">
      <c r="A31">
        <v>2021</v>
      </c>
      <c r="B31" t="s">
        <v>46</v>
      </c>
      <c r="C31" t="s">
        <v>205</v>
      </c>
      <c r="D31">
        <v>4</v>
      </c>
      <c r="E31">
        <v>10</v>
      </c>
      <c r="F31">
        <v>41.57</v>
      </c>
      <c r="G31">
        <v>442.17</v>
      </c>
      <c r="H31" s="124">
        <v>44761</v>
      </c>
      <c r="I31" s="124">
        <v>44767</v>
      </c>
      <c r="J31" s="124">
        <v>44767</v>
      </c>
      <c r="K31" s="276" t="s">
        <v>2232</v>
      </c>
      <c r="L31" s="124" t="s">
        <v>2233</v>
      </c>
      <c r="M31" s="124"/>
      <c r="P31" s="59" t="s">
        <v>2201</v>
      </c>
      <c r="Q31" s="59" t="s">
        <v>2216</v>
      </c>
      <c r="R31" t="s">
        <v>26</v>
      </c>
      <c r="S31" s="59" t="s">
        <v>2230</v>
      </c>
      <c r="U31">
        <f>G31-F31</f>
        <v>400.6</v>
      </c>
      <c r="V31" s="274">
        <f>((U31/7)*10)</f>
        <v>572.28571428571433</v>
      </c>
      <c r="W31">
        <f>U31/7</f>
        <v>57.228571428571435</v>
      </c>
      <c r="X31" s="277"/>
      <c r="Y31">
        <v>15026.49</v>
      </c>
      <c r="Z31" s="33"/>
      <c r="AA31" s="33"/>
      <c r="AB31" s="278"/>
      <c r="AC31" s="279"/>
      <c r="AD31" s="33"/>
      <c r="AE31" s="33"/>
      <c r="AF31" s="33"/>
      <c r="AG31" s="33"/>
      <c r="AH31" s="33"/>
      <c r="AI31" s="33"/>
      <c r="AJ31" s="33"/>
      <c r="AK31" s="33"/>
      <c r="AN31" s="33"/>
      <c r="AO31" s="33"/>
      <c r="AP31" s="33"/>
      <c r="AQ31" s="33"/>
      <c r="AR31" s="33"/>
      <c r="AS31" s="33"/>
    </row>
    <row r="32" spans="1:46">
      <c r="A32">
        <v>2021</v>
      </c>
      <c r="B32" t="s">
        <v>46</v>
      </c>
      <c r="C32">
        <v>2</v>
      </c>
      <c r="D32">
        <v>4</v>
      </c>
      <c r="E32">
        <v>10</v>
      </c>
      <c r="F32">
        <v>40.83</v>
      </c>
      <c r="G32">
        <v>337.66</v>
      </c>
      <c r="H32" s="124">
        <v>44761</v>
      </c>
      <c r="I32" s="124">
        <v>44767</v>
      </c>
      <c r="J32" s="124">
        <v>44767</v>
      </c>
      <c r="K32" s="276" t="s">
        <v>2232</v>
      </c>
      <c r="L32" s="124" t="s">
        <v>2233</v>
      </c>
      <c r="M32" s="124"/>
      <c r="P32" s="59" t="s">
        <v>2201</v>
      </c>
      <c r="Q32" s="59" t="s">
        <v>2216</v>
      </c>
      <c r="R32" t="s">
        <v>26</v>
      </c>
      <c r="S32" s="59" t="s">
        <v>2230</v>
      </c>
      <c r="U32">
        <f t="shared" ref="U32:U53" si="3">G32-F32</f>
        <v>296.83000000000004</v>
      </c>
      <c r="V32" s="274">
        <f t="shared" ref="V32:V53" si="4">((U32/7)*10)</f>
        <v>424.0428571428572</v>
      </c>
      <c r="W32">
        <f t="shared" ref="W32:W53" si="5">U32/7</f>
        <v>42.40428571428572</v>
      </c>
      <c r="X32" s="261"/>
      <c r="Y32">
        <v>14606.51</v>
      </c>
      <c r="Z32" s="33"/>
      <c r="AA32" s="33"/>
      <c r="AB32" s="280"/>
      <c r="AC32" s="33"/>
      <c r="AD32" s="33"/>
      <c r="AE32" s="33"/>
      <c r="AF32" s="33"/>
      <c r="AG32" s="33"/>
      <c r="AH32" s="33"/>
      <c r="AI32" s="33"/>
      <c r="AJ32" s="33"/>
      <c r="AK32" s="33"/>
      <c r="AN32" s="33"/>
      <c r="AO32" s="33"/>
      <c r="AP32" s="33"/>
      <c r="AQ32" s="33"/>
      <c r="AR32" s="33"/>
      <c r="AS32" s="33"/>
    </row>
    <row r="33" spans="1:45">
      <c r="A33">
        <v>2021</v>
      </c>
      <c r="B33" t="s">
        <v>46</v>
      </c>
      <c r="C33">
        <v>3</v>
      </c>
      <c r="D33">
        <v>4</v>
      </c>
      <c r="E33">
        <v>10</v>
      </c>
      <c r="F33">
        <v>41.36</v>
      </c>
      <c r="G33">
        <v>450.84</v>
      </c>
      <c r="H33" s="124">
        <v>44761</v>
      </c>
      <c r="I33" s="124">
        <v>44767</v>
      </c>
      <c r="J33" s="124">
        <v>44767</v>
      </c>
      <c r="K33" s="276" t="s">
        <v>2232</v>
      </c>
      <c r="L33" s="124" t="s">
        <v>2233</v>
      </c>
      <c r="M33" s="124"/>
      <c r="P33" s="59" t="s">
        <v>2201</v>
      </c>
      <c r="Q33" s="59" t="s">
        <v>2216</v>
      </c>
      <c r="R33" t="s">
        <v>26</v>
      </c>
      <c r="S33" s="59" t="s">
        <v>2230</v>
      </c>
      <c r="U33">
        <f t="shared" si="3"/>
        <v>409.47999999999996</v>
      </c>
      <c r="V33" s="274">
        <f t="shared" si="4"/>
        <v>584.97142857142853</v>
      </c>
      <c r="W33">
        <f t="shared" si="5"/>
        <v>58.497142857142855</v>
      </c>
      <c r="X33" s="261"/>
      <c r="Y33">
        <v>15115.21</v>
      </c>
      <c r="Z33" s="33"/>
      <c r="AA33" s="33"/>
      <c r="AB33" s="280"/>
      <c r="AC33" s="33"/>
      <c r="AD33" s="33"/>
      <c r="AE33" s="33"/>
      <c r="AF33" s="33"/>
      <c r="AG33" s="33"/>
      <c r="AH33" s="278"/>
      <c r="AI33" s="279"/>
      <c r="AJ33" s="33"/>
      <c r="AK33" s="33"/>
      <c r="AN33" s="33"/>
      <c r="AO33" s="33"/>
      <c r="AP33" s="33"/>
      <c r="AQ33" s="33"/>
      <c r="AR33" s="33"/>
      <c r="AS33" s="33"/>
    </row>
    <row r="34" spans="1:45">
      <c r="A34">
        <v>2021</v>
      </c>
      <c r="B34" t="s">
        <v>46</v>
      </c>
      <c r="C34">
        <v>4</v>
      </c>
      <c r="D34">
        <v>4</v>
      </c>
      <c r="E34">
        <v>10</v>
      </c>
      <c r="F34">
        <v>41.67</v>
      </c>
      <c r="G34">
        <v>419.2</v>
      </c>
      <c r="H34" s="124">
        <v>44761</v>
      </c>
      <c r="I34" s="124">
        <v>44767</v>
      </c>
      <c r="J34" s="124">
        <v>44767</v>
      </c>
      <c r="K34" s="276" t="s">
        <v>2232</v>
      </c>
      <c r="L34" s="124" t="s">
        <v>2233</v>
      </c>
      <c r="M34" s="124"/>
      <c r="P34" s="59" t="s">
        <v>2201</v>
      </c>
      <c r="Q34" s="59" t="s">
        <v>2216</v>
      </c>
      <c r="R34" t="s">
        <v>26</v>
      </c>
      <c r="S34" s="59" t="s">
        <v>2230</v>
      </c>
      <c r="U34">
        <f t="shared" si="3"/>
        <v>377.53</v>
      </c>
      <c r="V34" s="274">
        <f t="shared" si="4"/>
        <v>539.32857142857142</v>
      </c>
      <c r="W34">
        <f t="shared" si="5"/>
        <v>53.932857142857138</v>
      </c>
      <c r="X34" s="261"/>
      <c r="Y34">
        <v>14976.43</v>
      </c>
      <c r="Z34" s="33"/>
      <c r="AA34" s="33"/>
      <c r="AB34" s="278"/>
      <c r="AC34" s="279"/>
      <c r="AD34" s="33"/>
      <c r="AE34" s="33"/>
      <c r="AF34" s="33"/>
      <c r="AG34" s="33"/>
      <c r="AH34" s="278"/>
      <c r="AI34" s="279"/>
      <c r="AJ34" s="33"/>
      <c r="AK34" s="33"/>
      <c r="AN34" s="33"/>
      <c r="AO34" s="33"/>
      <c r="AP34" s="33"/>
      <c r="AQ34" s="33"/>
      <c r="AR34" s="33"/>
      <c r="AS34" s="33"/>
    </row>
    <row r="35" spans="1:45">
      <c r="A35">
        <v>2021</v>
      </c>
      <c r="B35" t="s">
        <v>46</v>
      </c>
      <c r="C35">
        <v>5</v>
      </c>
      <c r="D35">
        <v>4</v>
      </c>
      <c r="E35">
        <v>10</v>
      </c>
      <c r="F35">
        <v>40.74</v>
      </c>
      <c r="G35">
        <v>336.9</v>
      </c>
      <c r="H35" s="124">
        <v>44761</v>
      </c>
      <c r="I35" s="124">
        <v>44767</v>
      </c>
      <c r="J35" s="124">
        <v>44767</v>
      </c>
      <c r="K35" s="276" t="s">
        <v>2232</v>
      </c>
      <c r="L35" s="124" t="s">
        <v>2233</v>
      </c>
      <c r="M35" s="124"/>
      <c r="P35" s="59" t="s">
        <v>2201</v>
      </c>
      <c r="Q35" s="59" t="s">
        <v>2221</v>
      </c>
      <c r="R35" t="s">
        <v>26</v>
      </c>
      <c r="S35" s="59" t="s">
        <v>2230</v>
      </c>
      <c r="U35">
        <f t="shared" si="3"/>
        <v>296.15999999999997</v>
      </c>
      <c r="V35" s="274">
        <f t="shared" si="4"/>
        <v>423.08571428571429</v>
      </c>
      <c r="W35">
        <f t="shared" si="5"/>
        <v>42.308571428571426</v>
      </c>
      <c r="X35" s="261"/>
      <c r="Y35">
        <v>14556.79</v>
      </c>
      <c r="AN35" s="33"/>
      <c r="AO35" s="33"/>
      <c r="AP35" s="33"/>
      <c r="AQ35" s="33"/>
      <c r="AR35" s="33"/>
      <c r="AS35" s="33"/>
    </row>
    <row r="36" spans="1:45">
      <c r="A36">
        <v>2021</v>
      </c>
      <c r="B36" t="s">
        <v>46</v>
      </c>
      <c r="C36">
        <v>6</v>
      </c>
      <c r="D36">
        <v>4</v>
      </c>
      <c r="E36">
        <v>10</v>
      </c>
      <c r="F36">
        <v>41.75</v>
      </c>
      <c r="G36">
        <v>235.67</v>
      </c>
      <c r="H36" s="124">
        <v>44761</v>
      </c>
      <c r="I36" s="124">
        <v>44767</v>
      </c>
      <c r="J36" s="124">
        <v>44767</v>
      </c>
      <c r="K36" s="276" t="s">
        <v>2232</v>
      </c>
      <c r="L36" s="124" t="s">
        <v>2233</v>
      </c>
      <c r="M36" s="124"/>
      <c r="P36" s="59" t="s">
        <v>2201</v>
      </c>
      <c r="Q36" s="59" t="s">
        <v>2221</v>
      </c>
      <c r="R36" t="s">
        <v>26</v>
      </c>
      <c r="S36" s="59" t="s">
        <v>2230</v>
      </c>
      <c r="U36">
        <f t="shared" si="3"/>
        <v>193.92</v>
      </c>
      <c r="V36" s="274">
        <f t="shared" si="4"/>
        <v>277.02857142857141</v>
      </c>
      <c r="W36">
        <f t="shared" si="5"/>
        <v>27.702857142857141</v>
      </c>
      <c r="X36" s="261"/>
      <c r="Y36">
        <v>14748.98</v>
      </c>
      <c r="AN36" s="33"/>
      <c r="AO36" s="33"/>
      <c r="AP36" s="33"/>
      <c r="AQ36" s="33"/>
      <c r="AR36" s="33"/>
      <c r="AS36" s="33"/>
    </row>
    <row r="37" spans="1:45">
      <c r="A37">
        <v>2021</v>
      </c>
      <c r="B37" t="s">
        <v>46</v>
      </c>
      <c r="C37">
        <v>7</v>
      </c>
      <c r="D37">
        <v>4</v>
      </c>
      <c r="E37">
        <v>10</v>
      </c>
      <c r="F37">
        <v>38.75</v>
      </c>
      <c r="G37">
        <v>239.7</v>
      </c>
      <c r="H37" s="124">
        <v>44761</v>
      </c>
      <c r="I37" s="124">
        <v>44767</v>
      </c>
      <c r="J37" s="124">
        <v>44767</v>
      </c>
      <c r="K37" s="276" t="s">
        <v>2232</v>
      </c>
      <c r="L37" s="124" t="s">
        <v>2233</v>
      </c>
      <c r="M37" s="124"/>
      <c r="P37" s="59" t="s">
        <v>2201</v>
      </c>
      <c r="Q37" s="59" t="s">
        <v>2221</v>
      </c>
      <c r="R37" t="s">
        <v>26</v>
      </c>
      <c r="S37" s="59" t="s">
        <v>2230</v>
      </c>
      <c r="U37">
        <f t="shared" si="3"/>
        <v>200.95</v>
      </c>
      <c r="V37" s="274">
        <f t="shared" si="4"/>
        <v>287.07142857142856</v>
      </c>
      <c r="W37">
        <f t="shared" si="5"/>
        <v>28.707142857142856</v>
      </c>
      <c r="X37" s="261"/>
      <c r="Y37">
        <v>14970.12</v>
      </c>
      <c r="AN37" s="33"/>
      <c r="AO37" s="33"/>
      <c r="AP37" s="33"/>
      <c r="AQ37" s="33"/>
      <c r="AR37" s="33"/>
      <c r="AS37" s="33"/>
    </row>
    <row r="38" spans="1:45">
      <c r="A38">
        <v>2021</v>
      </c>
      <c r="B38" t="s">
        <v>46</v>
      </c>
      <c r="C38">
        <v>8</v>
      </c>
      <c r="D38">
        <v>4</v>
      </c>
      <c r="E38">
        <v>10</v>
      </c>
      <c r="F38">
        <v>40.06</v>
      </c>
      <c r="G38">
        <v>240.58</v>
      </c>
      <c r="H38" s="124">
        <v>44761</v>
      </c>
      <c r="I38" s="124">
        <v>44767</v>
      </c>
      <c r="J38" s="124">
        <v>44767</v>
      </c>
      <c r="K38" s="276" t="s">
        <v>2232</v>
      </c>
      <c r="L38" s="124" t="s">
        <v>2233</v>
      </c>
      <c r="M38" s="124"/>
      <c r="P38" s="59" t="s">
        <v>2201</v>
      </c>
      <c r="Q38" s="59" t="s">
        <v>2221</v>
      </c>
      <c r="R38" t="s">
        <v>26</v>
      </c>
      <c r="S38" s="59" t="s">
        <v>2230</v>
      </c>
      <c r="U38">
        <f t="shared" si="3"/>
        <v>200.52</v>
      </c>
      <c r="V38" s="274">
        <f t="shared" si="4"/>
        <v>286.45714285714286</v>
      </c>
      <c r="W38">
        <f t="shared" si="5"/>
        <v>28.645714285714288</v>
      </c>
      <c r="X38" s="261"/>
      <c r="Y38">
        <v>14955.63</v>
      </c>
      <c r="AN38" s="33"/>
      <c r="AO38" s="33"/>
      <c r="AP38" s="33"/>
      <c r="AQ38" s="33"/>
      <c r="AR38" s="33"/>
      <c r="AS38" s="33"/>
    </row>
    <row r="39" spans="1:45">
      <c r="A39">
        <v>2021</v>
      </c>
      <c r="B39" t="s">
        <v>46</v>
      </c>
      <c r="C39">
        <v>9</v>
      </c>
      <c r="D39">
        <v>4</v>
      </c>
      <c r="E39">
        <v>10</v>
      </c>
      <c r="F39">
        <v>40.58</v>
      </c>
      <c r="G39">
        <v>364.12</v>
      </c>
      <c r="H39" s="124">
        <v>44761</v>
      </c>
      <c r="I39" s="124">
        <v>44767</v>
      </c>
      <c r="J39" s="124">
        <v>44767</v>
      </c>
      <c r="K39" s="276" t="s">
        <v>2232</v>
      </c>
      <c r="L39" s="124" t="s">
        <v>2233</v>
      </c>
      <c r="M39" s="124"/>
      <c r="P39" s="59" t="s">
        <v>2201</v>
      </c>
      <c r="Q39" s="59" t="s">
        <v>2221</v>
      </c>
      <c r="R39" t="s">
        <v>26</v>
      </c>
      <c r="S39" s="59" t="s">
        <v>2230</v>
      </c>
      <c r="U39">
        <f t="shared" si="3"/>
        <v>323.54000000000002</v>
      </c>
      <c r="V39" s="274">
        <f t="shared" si="4"/>
        <v>462.20000000000005</v>
      </c>
      <c r="W39">
        <f t="shared" si="5"/>
        <v>46.220000000000006</v>
      </c>
      <c r="X39" s="261"/>
      <c r="Y39">
        <v>14658.11</v>
      </c>
      <c r="AN39" s="33"/>
      <c r="AO39" s="33"/>
      <c r="AP39" s="33"/>
      <c r="AQ39" s="33"/>
      <c r="AR39" s="33"/>
      <c r="AS39" s="33"/>
    </row>
    <row r="40" spans="1:45">
      <c r="A40">
        <v>2021</v>
      </c>
      <c r="B40" t="s">
        <v>46</v>
      </c>
      <c r="C40">
        <v>10</v>
      </c>
      <c r="D40">
        <v>4</v>
      </c>
      <c r="E40">
        <v>10</v>
      </c>
      <c r="F40">
        <v>39.9</v>
      </c>
      <c r="G40">
        <v>399.41</v>
      </c>
      <c r="H40" s="124">
        <v>44761</v>
      </c>
      <c r="I40" s="124">
        <v>44767</v>
      </c>
      <c r="J40" s="124">
        <v>44767</v>
      </c>
      <c r="K40" s="276" t="s">
        <v>2232</v>
      </c>
      <c r="L40" s="124" t="s">
        <v>2233</v>
      </c>
      <c r="M40" s="124"/>
      <c r="P40" s="59" t="s">
        <v>2201</v>
      </c>
      <c r="Q40" s="59" t="s">
        <v>2221</v>
      </c>
      <c r="R40" t="s">
        <v>26</v>
      </c>
      <c r="S40" s="59" t="s">
        <v>2230</v>
      </c>
      <c r="U40">
        <f t="shared" si="3"/>
        <v>359.51000000000005</v>
      </c>
      <c r="V40" s="274">
        <f t="shared" si="4"/>
        <v>513.5857142857144</v>
      </c>
      <c r="W40">
        <f t="shared" si="5"/>
        <v>51.358571428571437</v>
      </c>
      <c r="X40" s="261"/>
      <c r="Y40">
        <v>15027.89</v>
      </c>
      <c r="AN40" s="33"/>
      <c r="AO40" s="33"/>
      <c r="AP40" s="33"/>
      <c r="AQ40" s="33"/>
      <c r="AR40" s="33"/>
      <c r="AS40" s="33"/>
    </row>
    <row r="41" spans="1:45">
      <c r="A41">
        <v>2021</v>
      </c>
      <c r="B41" t="s">
        <v>46</v>
      </c>
      <c r="C41">
        <v>11</v>
      </c>
      <c r="D41">
        <v>4</v>
      </c>
      <c r="E41">
        <v>10</v>
      </c>
      <c r="F41">
        <v>40.03</v>
      </c>
      <c r="G41">
        <v>427.07</v>
      </c>
      <c r="H41" s="124">
        <v>44761</v>
      </c>
      <c r="I41" s="124">
        <v>44767</v>
      </c>
      <c r="J41" s="124">
        <v>44767</v>
      </c>
      <c r="K41" s="276" t="s">
        <v>2232</v>
      </c>
      <c r="L41" s="124" t="s">
        <v>2233</v>
      </c>
      <c r="P41" s="59" t="s">
        <v>2201</v>
      </c>
      <c r="Q41" s="59" t="s">
        <v>2221</v>
      </c>
      <c r="R41" t="s">
        <v>26</v>
      </c>
      <c r="S41" s="59" t="s">
        <v>2230</v>
      </c>
      <c r="U41">
        <f t="shared" si="3"/>
        <v>387.03999999999996</v>
      </c>
      <c r="V41" s="274">
        <f t="shared" si="4"/>
        <v>552.91428571428571</v>
      </c>
      <c r="W41">
        <f t="shared" si="5"/>
        <v>55.291428571428568</v>
      </c>
      <c r="Y41">
        <v>15108.5</v>
      </c>
      <c r="AN41" s="33"/>
      <c r="AO41" s="33"/>
      <c r="AP41" s="33"/>
      <c r="AQ41" s="33"/>
      <c r="AR41" s="33"/>
      <c r="AS41" s="33"/>
    </row>
    <row r="42" spans="1:45">
      <c r="A42">
        <v>2021</v>
      </c>
      <c r="B42" t="s">
        <v>46</v>
      </c>
      <c r="C42">
        <v>12</v>
      </c>
      <c r="D42">
        <v>4</v>
      </c>
      <c r="E42">
        <v>10</v>
      </c>
      <c r="F42">
        <v>39.49</v>
      </c>
      <c r="G42">
        <v>590.58000000000004</v>
      </c>
      <c r="H42" s="124">
        <v>44762</v>
      </c>
      <c r="I42" s="124">
        <v>44767</v>
      </c>
      <c r="J42" s="124">
        <v>44767</v>
      </c>
      <c r="K42" s="276" t="s">
        <v>2232</v>
      </c>
      <c r="L42" s="124" t="s">
        <v>2233</v>
      </c>
      <c r="P42" s="59" t="s">
        <v>2201</v>
      </c>
      <c r="Q42" s="59" t="s">
        <v>2221</v>
      </c>
      <c r="R42" t="s">
        <v>26</v>
      </c>
      <c r="S42" s="59" t="s">
        <v>2231</v>
      </c>
      <c r="U42">
        <f t="shared" si="3"/>
        <v>551.09</v>
      </c>
      <c r="V42" s="274">
        <f t="shared" si="4"/>
        <v>787.27142857142871</v>
      </c>
      <c r="W42">
        <f t="shared" si="5"/>
        <v>78.727142857142866</v>
      </c>
      <c r="Y42">
        <v>14940.8</v>
      </c>
    </row>
    <row r="43" spans="1:45">
      <c r="A43">
        <v>2021</v>
      </c>
      <c r="B43" t="s">
        <v>46</v>
      </c>
      <c r="C43">
        <v>13</v>
      </c>
      <c r="D43">
        <v>4</v>
      </c>
      <c r="E43">
        <v>10</v>
      </c>
      <c r="F43">
        <v>38.880000000000003</v>
      </c>
      <c r="G43">
        <v>577.58000000000004</v>
      </c>
      <c r="H43" s="124">
        <v>44762</v>
      </c>
      <c r="I43" s="124">
        <v>44767</v>
      </c>
      <c r="J43" s="124">
        <v>44767</v>
      </c>
      <c r="K43" s="276" t="s">
        <v>2232</v>
      </c>
      <c r="L43" s="124" t="s">
        <v>2233</v>
      </c>
      <c r="P43" s="59" t="s">
        <v>2201</v>
      </c>
      <c r="Q43" s="59" t="s">
        <v>2221</v>
      </c>
      <c r="R43" t="s">
        <v>26</v>
      </c>
      <c r="S43" s="59" t="s">
        <v>2231</v>
      </c>
      <c r="U43">
        <f t="shared" si="3"/>
        <v>538.70000000000005</v>
      </c>
      <c r="V43" s="274">
        <f t="shared" si="4"/>
        <v>769.57142857142867</v>
      </c>
      <c r="W43">
        <f t="shared" si="5"/>
        <v>76.95714285714287</v>
      </c>
      <c r="Y43">
        <v>14946.62</v>
      </c>
    </row>
    <row r="44" spans="1:45">
      <c r="A44">
        <v>2021</v>
      </c>
      <c r="B44" t="s">
        <v>46</v>
      </c>
      <c r="C44">
        <v>14</v>
      </c>
      <c r="D44">
        <v>4</v>
      </c>
      <c r="E44">
        <v>10</v>
      </c>
      <c r="F44">
        <v>39.61</v>
      </c>
      <c r="G44">
        <v>646.73</v>
      </c>
      <c r="H44" s="124">
        <v>44762</v>
      </c>
      <c r="I44" s="124">
        <v>44767</v>
      </c>
      <c r="J44" s="124">
        <v>44767</v>
      </c>
      <c r="K44" s="276" t="s">
        <v>2232</v>
      </c>
      <c r="L44" s="124" t="s">
        <v>2233</v>
      </c>
      <c r="P44" s="59" t="s">
        <v>2201</v>
      </c>
      <c r="Q44" s="59" t="s">
        <v>2221</v>
      </c>
      <c r="R44" t="s">
        <v>26</v>
      </c>
      <c r="S44" s="59" t="s">
        <v>2231</v>
      </c>
      <c r="U44">
        <f t="shared" si="3"/>
        <v>607.12</v>
      </c>
      <c r="V44" s="274">
        <f t="shared" si="4"/>
        <v>867.31428571428569</v>
      </c>
      <c r="W44">
        <f t="shared" si="5"/>
        <v>86.731428571428566</v>
      </c>
      <c r="Y44">
        <v>14984.62</v>
      </c>
    </row>
    <row r="45" spans="1:45">
      <c r="A45">
        <v>2021</v>
      </c>
      <c r="B45" t="s">
        <v>46</v>
      </c>
      <c r="C45">
        <v>15</v>
      </c>
      <c r="D45">
        <v>4</v>
      </c>
      <c r="E45">
        <v>10</v>
      </c>
      <c r="F45">
        <v>40.82</v>
      </c>
      <c r="G45">
        <v>613.82000000000005</v>
      </c>
      <c r="H45" s="124">
        <v>44762</v>
      </c>
      <c r="I45" s="124">
        <v>44767</v>
      </c>
      <c r="J45" s="124">
        <v>44767</v>
      </c>
      <c r="K45" s="276" t="s">
        <v>2232</v>
      </c>
      <c r="L45" s="124" t="s">
        <v>2233</v>
      </c>
      <c r="P45" s="59" t="s">
        <v>2201</v>
      </c>
      <c r="Q45" s="59" t="s">
        <v>2221</v>
      </c>
      <c r="R45" t="s">
        <v>26</v>
      </c>
      <c r="S45" s="59" t="s">
        <v>2231</v>
      </c>
      <c r="U45">
        <f t="shared" si="3"/>
        <v>573</v>
      </c>
      <c r="V45" s="274">
        <f t="shared" si="4"/>
        <v>818.57142857142867</v>
      </c>
      <c r="W45">
        <f t="shared" si="5"/>
        <v>81.857142857142861</v>
      </c>
      <c r="Y45">
        <v>14534.68</v>
      </c>
    </row>
    <row r="46" spans="1:45" s="281" customFormat="1">
      <c r="A46" s="281">
        <v>2021</v>
      </c>
      <c r="B46" s="281" t="s">
        <v>46</v>
      </c>
      <c r="C46" s="281" t="s">
        <v>2219</v>
      </c>
      <c r="D46" s="281">
        <v>4</v>
      </c>
      <c r="E46" s="281">
        <v>7</v>
      </c>
      <c r="F46" s="281">
        <v>41.76</v>
      </c>
      <c r="G46" s="281">
        <v>722.99</v>
      </c>
      <c r="H46" s="282">
        <v>44762</v>
      </c>
      <c r="I46" s="282">
        <v>44767</v>
      </c>
      <c r="J46" s="282">
        <v>44767</v>
      </c>
      <c r="K46" s="283" t="s">
        <v>2232</v>
      </c>
      <c r="L46" s="282" t="s">
        <v>2233</v>
      </c>
      <c r="P46" s="284" t="s">
        <v>2201</v>
      </c>
      <c r="Q46" s="284" t="s">
        <v>2221</v>
      </c>
      <c r="R46" s="281" t="s">
        <v>26</v>
      </c>
      <c r="S46" s="284" t="s">
        <v>2231</v>
      </c>
      <c r="U46" s="281">
        <f t="shared" si="3"/>
        <v>681.23</v>
      </c>
      <c r="V46" s="281">
        <f>((U46+U47)/7)*10</f>
        <v>1713.0714285714289</v>
      </c>
      <c r="W46" s="281">
        <f>U46/4</f>
        <v>170.3075</v>
      </c>
      <c r="X46" s="286">
        <f>ABS(W46-W47)</f>
        <v>2.3324999999999818</v>
      </c>
      <c r="Y46" s="281">
        <v>14549.9</v>
      </c>
    </row>
    <row r="47" spans="1:45" s="281" customFormat="1">
      <c r="A47" s="281">
        <v>2021</v>
      </c>
      <c r="B47" s="281" t="s">
        <v>46</v>
      </c>
      <c r="C47" s="281" t="s">
        <v>2220</v>
      </c>
      <c r="D47" s="281">
        <v>8</v>
      </c>
      <c r="E47" s="281">
        <v>10</v>
      </c>
      <c r="F47" s="281">
        <v>39.72</v>
      </c>
      <c r="G47" s="281">
        <v>557.64</v>
      </c>
      <c r="H47" s="282">
        <v>44762</v>
      </c>
      <c r="I47" s="282">
        <v>44767</v>
      </c>
      <c r="J47" s="282">
        <v>44767</v>
      </c>
      <c r="K47" s="283" t="s">
        <v>2232</v>
      </c>
      <c r="L47" s="282" t="s">
        <v>2233</v>
      </c>
      <c r="P47" s="284" t="s">
        <v>2201</v>
      </c>
      <c r="Q47" s="284" t="s">
        <v>2221</v>
      </c>
      <c r="R47" s="281" t="s">
        <v>26</v>
      </c>
      <c r="S47" s="284" t="s">
        <v>2231</v>
      </c>
      <c r="U47" s="281">
        <f t="shared" si="3"/>
        <v>517.91999999999996</v>
      </c>
      <c r="W47" s="281">
        <f>U47/3</f>
        <v>172.64</v>
      </c>
      <c r="X47" s="287">
        <f>X46/SUM(U46,U47)</f>
        <v>1.9451277988575088E-3</v>
      </c>
    </row>
    <row r="48" spans="1:45" s="281" customFormat="1">
      <c r="A48" s="281">
        <v>2021</v>
      </c>
      <c r="B48" s="281" t="s">
        <v>46</v>
      </c>
      <c r="C48" s="281" t="s">
        <v>2228</v>
      </c>
      <c r="D48" s="281">
        <v>4</v>
      </c>
      <c r="E48" s="281">
        <v>7</v>
      </c>
      <c r="F48" s="281">
        <v>38.75</v>
      </c>
      <c r="G48" s="281">
        <v>492</v>
      </c>
      <c r="H48" s="282">
        <v>44762</v>
      </c>
      <c r="I48" s="282">
        <v>44767</v>
      </c>
      <c r="J48" s="282">
        <v>44767</v>
      </c>
      <c r="K48" s="283" t="s">
        <v>2232</v>
      </c>
      <c r="L48" s="282" t="s">
        <v>2233</v>
      </c>
      <c r="P48" s="284" t="s">
        <v>2201</v>
      </c>
      <c r="Q48" s="284" t="s">
        <v>2221</v>
      </c>
      <c r="R48" s="281" t="s">
        <v>26</v>
      </c>
      <c r="S48" s="284" t="s">
        <v>2231</v>
      </c>
      <c r="U48" s="281">
        <f t="shared" si="3"/>
        <v>453.25</v>
      </c>
      <c r="V48" s="281">
        <f>((U48+U49)/7)*10</f>
        <v>1153.5714285714287</v>
      </c>
      <c r="W48" s="281">
        <f>U48/4</f>
        <v>113.3125</v>
      </c>
      <c r="X48" s="286">
        <f>ABS(W48-W49)</f>
        <v>4.7708333333333286</v>
      </c>
      <c r="Y48" s="281">
        <v>14986.79</v>
      </c>
    </row>
    <row r="49" spans="1:46" s="281" customFormat="1">
      <c r="A49" s="281">
        <v>2021</v>
      </c>
      <c r="B49" s="281" t="s">
        <v>46</v>
      </c>
      <c r="C49" s="281" t="s">
        <v>2229</v>
      </c>
      <c r="D49" s="281">
        <v>8</v>
      </c>
      <c r="E49" s="281">
        <v>10</v>
      </c>
      <c r="F49" s="281">
        <v>38.93</v>
      </c>
      <c r="G49" s="281">
        <v>393.18</v>
      </c>
      <c r="H49" s="282">
        <v>44762</v>
      </c>
      <c r="I49" s="282">
        <v>44767</v>
      </c>
      <c r="J49" s="282">
        <v>44767</v>
      </c>
      <c r="K49" s="283" t="s">
        <v>2232</v>
      </c>
      <c r="L49" s="282" t="s">
        <v>2233</v>
      </c>
      <c r="P49" s="284" t="s">
        <v>2201</v>
      </c>
      <c r="Q49" s="284" t="s">
        <v>2221</v>
      </c>
      <c r="R49" s="281" t="s">
        <v>26</v>
      </c>
      <c r="S49" s="284" t="s">
        <v>2231</v>
      </c>
      <c r="U49" s="281">
        <f t="shared" si="3"/>
        <v>354.25</v>
      </c>
      <c r="W49" s="281">
        <f>U49/3</f>
        <v>118.08333333333333</v>
      </c>
      <c r="X49" s="287">
        <f>X48/SUM(U48,U49)</f>
        <v>5.9081527347781158E-3</v>
      </c>
    </row>
    <row r="50" spans="1:46">
      <c r="A50">
        <v>2021</v>
      </c>
      <c r="B50" t="s">
        <v>46</v>
      </c>
      <c r="C50">
        <v>18</v>
      </c>
      <c r="D50">
        <v>4</v>
      </c>
      <c r="E50">
        <v>10</v>
      </c>
      <c r="F50">
        <v>40.25</v>
      </c>
      <c r="G50">
        <v>544.69000000000005</v>
      </c>
      <c r="H50" s="124">
        <v>44762</v>
      </c>
      <c r="I50" s="124">
        <v>44767</v>
      </c>
      <c r="J50" s="124">
        <v>44767</v>
      </c>
      <c r="K50" s="276" t="s">
        <v>2232</v>
      </c>
      <c r="L50" s="124" t="s">
        <v>2233</v>
      </c>
      <c r="P50" s="59" t="s">
        <v>2201</v>
      </c>
      <c r="Q50" s="59" t="s">
        <v>2221</v>
      </c>
      <c r="R50" t="s">
        <v>26</v>
      </c>
      <c r="S50" s="59" t="s">
        <v>2231</v>
      </c>
      <c r="U50">
        <f t="shared" si="3"/>
        <v>504.44000000000005</v>
      </c>
      <c r="V50" s="274">
        <f t="shared" si="4"/>
        <v>720.6285714285716</v>
      </c>
      <c r="W50">
        <f t="shared" si="5"/>
        <v>72.062857142857155</v>
      </c>
      <c r="Y50">
        <v>14954.92</v>
      </c>
    </row>
    <row r="51" spans="1:46">
      <c r="A51">
        <v>2021</v>
      </c>
      <c r="B51" t="s">
        <v>46</v>
      </c>
      <c r="C51">
        <v>19</v>
      </c>
      <c r="D51">
        <v>4</v>
      </c>
      <c r="E51">
        <v>10</v>
      </c>
      <c r="F51">
        <v>39.86</v>
      </c>
      <c r="G51">
        <v>355.18</v>
      </c>
      <c r="H51" s="124">
        <v>44762</v>
      </c>
      <c r="I51" s="124">
        <v>44767</v>
      </c>
      <c r="J51" s="124">
        <v>44767</v>
      </c>
      <c r="K51" s="276" t="s">
        <v>2232</v>
      </c>
      <c r="L51" s="124" t="s">
        <v>2233</v>
      </c>
      <c r="P51" s="59" t="s">
        <v>2201</v>
      </c>
      <c r="Q51" s="59" t="s">
        <v>2221</v>
      </c>
      <c r="R51" t="s">
        <v>26</v>
      </c>
      <c r="S51" s="59" t="s">
        <v>2231</v>
      </c>
      <c r="U51">
        <f t="shared" si="3"/>
        <v>315.32</v>
      </c>
      <c r="V51" s="274">
        <f t="shared" si="4"/>
        <v>450.4571428571428</v>
      </c>
      <c r="W51">
        <f t="shared" si="5"/>
        <v>45.045714285714283</v>
      </c>
      <c r="Y51">
        <v>14593.88</v>
      </c>
    </row>
    <row r="52" spans="1:46">
      <c r="A52">
        <v>2021</v>
      </c>
      <c r="B52" t="s">
        <v>46</v>
      </c>
      <c r="C52">
        <v>20</v>
      </c>
      <c r="D52">
        <v>4</v>
      </c>
      <c r="E52">
        <v>10</v>
      </c>
      <c r="F52">
        <v>40.85</v>
      </c>
      <c r="G52">
        <v>257.35000000000002</v>
      </c>
      <c r="H52" s="124">
        <v>44762</v>
      </c>
      <c r="I52" s="124">
        <v>44767</v>
      </c>
      <c r="J52" s="124">
        <v>44767</v>
      </c>
      <c r="K52" s="276" t="s">
        <v>2232</v>
      </c>
      <c r="L52" s="124" t="s">
        <v>2233</v>
      </c>
      <c r="P52" s="59" t="s">
        <v>2201</v>
      </c>
      <c r="Q52" s="59" t="s">
        <v>2221</v>
      </c>
      <c r="R52" t="s">
        <v>26</v>
      </c>
      <c r="S52" s="59" t="s">
        <v>2231</v>
      </c>
      <c r="U52">
        <f t="shared" si="3"/>
        <v>216.50000000000003</v>
      </c>
      <c r="V52" s="274">
        <f t="shared" si="4"/>
        <v>309.28571428571433</v>
      </c>
      <c r="W52">
        <f t="shared" si="5"/>
        <v>30.928571428571434</v>
      </c>
      <c r="Y52">
        <v>15052.44</v>
      </c>
    </row>
    <row r="53" spans="1:46">
      <c r="A53">
        <v>2021</v>
      </c>
      <c r="B53" t="s">
        <v>46</v>
      </c>
      <c r="C53">
        <v>21</v>
      </c>
      <c r="D53">
        <v>4</v>
      </c>
      <c r="E53">
        <v>10</v>
      </c>
      <c r="F53">
        <v>39.630000000000003</v>
      </c>
      <c r="G53">
        <v>183.48</v>
      </c>
      <c r="H53" s="124">
        <v>44762</v>
      </c>
      <c r="I53" s="124">
        <v>44767</v>
      </c>
      <c r="J53" s="124">
        <v>44767</v>
      </c>
      <c r="K53" s="276" t="s">
        <v>2232</v>
      </c>
      <c r="L53" s="124" t="s">
        <v>2233</v>
      </c>
      <c r="P53" s="59" t="s">
        <v>2201</v>
      </c>
      <c r="Q53" s="59" t="s">
        <v>2221</v>
      </c>
      <c r="R53" t="s">
        <v>26</v>
      </c>
      <c r="S53" s="59" t="s">
        <v>2231</v>
      </c>
      <c r="U53">
        <f t="shared" si="3"/>
        <v>143.85</v>
      </c>
      <c r="V53" s="274">
        <f t="shared" si="4"/>
        <v>205.5</v>
      </c>
      <c r="W53">
        <f t="shared" si="5"/>
        <v>20.55</v>
      </c>
      <c r="Y53">
        <v>14483.04</v>
      </c>
    </row>
    <row r="55" spans="1:46">
      <c r="A55" s="273" t="str">
        <f>main!A54</f>
        <v>Deployment 24/04/2021 IN2021_V02</v>
      </c>
      <c r="B55" s="273" t="str">
        <f>main!B54</f>
        <v>McLane-PARFLUX-Mark78H-21 ; frame# 10705, controller# 11649-01 and Motor # 11649-01 Cup set Lx21</v>
      </c>
      <c r="C55" s="273"/>
      <c r="D55" s="273"/>
      <c r="E55" s="273"/>
      <c r="F55" s="273"/>
      <c r="G55" s="273"/>
      <c r="H55" s="273"/>
      <c r="I55" s="273"/>
      <c r="J55" s="273"/>
      <c r="K55" s="273"/>
      <c r="L55" s="273"/>
      <c r="M55" s="273"/>
      <c r="N55" s="273"/>
      <c r="O55" s="273"/>
      <c r="P55" s="273"/>
      <c r="Q55" s="273"/>
      <c r="R55" s="273"/>
      <c r="S55" s="273"/>
      <c r="T55" s="273"/>
      <c r="U55" s="273"/>
      <c r="V55" s="274"/>
      <c r="W55" s="273"/>
      <c r="X55" s="275"/>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row>
    <row r="56" spans="1:46">
      <c r="A56">
        <v>2021</v>
      </c>
      <c r="B56" t="s">
        <v>47</v>
      </c>
      <c r="C56" t="s">
        <v>207</v>
      </c>
      <c r="D56">
        <v>4</v>
      </c>
      <c r="E56">
        <v>10</v>
      </c>
      <c r="F56">
        <v>39.22</v>
      </c>
      <c r="G56">
        <v>324.57</v>
      </c>
      <c r="H56" s="124">
        <v>44767</v>
      </c>
      <c r="I56" s="124">
        <v>44774</v>
      </c>
      <c r="J56" s="124">
        <v>44774</v>
      </c>
      <c r="K56" s="276" t="s">
        <v>2236</v>
      </c>
      <c r="L56" s="124" t="s">
        <v>2237</v>
      </c>
      <c r="M56" s="124"/>
      <c r="P56" s="59" t="s">
        <v>2201</v>
      </c>
      <c r="Q56" s="59" t="s">
        <v>2216</v>
      </c>
      <c r="R56" t="s">
        <v>26</v>
      </c>
      <c r="S56" s="59" t="s">
        <v>2234</v>
      </c>
      <c r="U56">
        <f>G56-F56</f>
        <v>285.35000000000002</v>
      </c>
      <c r="V56" s="274">
        <f>((U56/7)*10)</f>
        <v>407.64285714285722</v>
      </c>
      <c r="W56">
        <f>U56/7</f>
        <v>40.76428571428572</v>
      </c>
      <c r="X56" s="277"/>
      <c r="Y56">
        <v>14580.82</v>
      </c>
      <c r="Z56" s="33"/>
      <c r="AA56" s="33"/>
      <c r="AB56" s="278"/>
      <c r="AC56" s="279"/>
      <c r="AD56" s="33"/>
      <c r="AE56" s="33"/>
      <c r="AF56" s="33"/>
      <c r="AG56" s="33"/>
      <c r="AH56" s="33"/>
      <c r="AI56" s="33"/>
      <c r="AJ56" s="33"/>
      <c r="AK56" s="33"/>
      <c r="AN56" s="33"/>
      <c r="AO56" s="33"/>
      <c r="AP56" s="33"/>
      <c r="AQ56" s="33"/>
      <c r="AR56" s="33"/>
      <c r="AS56" s="33"/>
    </row>
    <row r="57" spans="1:46">
      <c r="A57">
        <v>2021</v>
      </c>
      <c r="B57" t="s">
        <v>47</v>
      </c>
      <c r="C57">
        <v>2</v>
      </c>
      <c r="D57">
        <v>4</v>
      </c>
      <c r="E57">
        <v>10</v>
      </c>
      <c r="F57">
        <v>39.270000000000003</v>
      </c>
      <c r="G57">
        <v>279.70999999999998</v>
      </c>
      <c r="H57" s="124">
        <v>44767</v>
      </c>
      <c r="I57" s="124">
        <v>44774</v>
      </c>
      <c r="J57" s="124">
        <v>44774</v>
      </c>
      <c r="K57" s="276" t="s">
        <v>2236</v>
      </c>
      <c r="L57" s="124" t="s">
        <v>2237</v>
      </c>
      <c r="M57" s="124"/>
      <c r="P57" s="59" t="s">
        <v>2201</v>
      </c>
      <c r="Q57" s="59" t="s">
        <v>2216</v>
      </c>
      <c r="R57" t="s">
        <v>26</v>
      </c>
      <c r="S57" s="59" t="s">
        <v>2234</v>
      </c>
      <c r="U57">
        <f t="shared" ref="U57:U78" si="6">G57-F57</f>
        <v>240.43999999999997</v>
      </c>
      <c r="V57" s="274">
        <f t="shared" ref="V57:V78" si="7">((U57/7)*10)</f>
        <v>343.48571428571427</v>
      </c>
      <c r="W57">
        <f t="shared" ref="W57:W78" si="8">U57/7</f>
        <v>34.348571428571425</v>
      </c>
      <c r="X57" s="261"/>
      <c r="Y57">
        <v>14633.91</v>
      </c>
      <c r="Z57" s="33"/>
      <c r="AA57" s="33"/>
      <c r="AB57" s="280"/>
      <c r="AC57" s="33"/>
      <c r="AD57" s="33"/>
      <c r="AE57" s="33"/>
      <c r="AF57" s="33"/>
      <c r="AG57" s="33"/>
      <c r="AH57" s="33"/>
      <c r="AI57" s="33"/>
      <c r="AJ57" s="33"/>
      <c r="AK57" s="33"/>
      <c r="AN57" s="33"/>
      <c r="AO57" s="33"/>
      <c r="AP57" s="33"/>
      <c r="AQ57" s="33"/>
      <c r="AR57" s="33"/>
      <c r="AS57" s="33"/>
    </row>
    <row r="58" spans="1:46">
      <c r="A58">
        <v>2021</v>
      </c>
      <c r="B58" t="s">
        <v>47</v>
      </c>
      <c r="C58">
        <v>3</v>
      </c>
      <c r="D58">
        <v>4</v>
      </c>
      <c r="E58">
        <v>10</v>
      </c>
      <c r="F58">
        <v>38.74</v>
      </c>
      <c r="G58">
        <v>327.66000000000003</v>
      </c>
      <c r="H58" s="124">
        <v>44767</v>
      </c>
      <c r="I58" s="124">
        <v>44774</v>
      </c>
      <c r="J58" s="124">
        <v>44774</v>
      </c>
      <c r="K58" s="276" t="s">
        <v>2236</v>
      </c>
      <c r="L58" s="124" t="s">
        <v>2237</v>
      </c>
      <c r="M58" s="124"/>
      <c r="P58" s="59" t="s">
        <v>2201</v>
      </c>
      <c r="Q58" s="59" t="s">
        <v>2216</v>
      </c>
      <c r="R58" t="s">
        <v>26</v>
      </c>
      <c r="S58" s="59" t="s">
        <v>2234</v>
      </c>
      <c r="U58">
        <f t="shared" si="6"/>
        <v>288.92</v>
      </c>
      <c r="V58" s="274">
        <f t="shared" si="7"/>
        <v>412.74285714285719</v>
      </c>
      <c r="W58">
        <f t="shared" si="8"/>
        <v>41.274285714285718</v>
      </c>
      <c r="X58" s="261"/>
      <c r="Y58">
        <v>14520.66</v>
      </c>
      <c r="Z58" s="33"/>
      <c r="AA58" s="33"/>
      <c r="AB58" s="280"/>
      <c r="AC58" s="33"/>
      <c r="AD58" s="33"/>
      <c r="AE58" s="33"/>
      <c r="AF58" s="33"/>
      <c r="AG58" s="33"/>
      <c r="AH58" s="278"/>
      <c r="AI58" s="279"/>
      <c r="AJ58" s="33"/>
      <c r="AK58" s="33"/>
      <c r="AN58" s="33"/>
      <c r="AO58" s="33"/>
      <c r="AP58" s="33"/>
      <c r="AQ58" s="33"/>
      <c r="AR58" s="33"/>
      <c r="AS58" s="33"/>
    </row>
    <row r="59" spans="1:46">
      <c r="A59">
        <v>2021</v>
      </c>
      <c r="B59" t="s">
        <v>47</v>
      </c>
      <c r="C59">
        <v>4</v>
      </c>
      <c r="D59">
        <v>4</v>
      </c>
      <c r="E59">
        <v>10</v>
      </c>
      <c r="F59">
        <v>40.119999999999997</v>
      </c>
      <c r="G59">
        <v>410.45</v>
      </c>
      <c r="H59" s="124">
        <v>44767</v>
      </c>
      <c r="I59" s="124">
        <v>44774</v>
      </c>
      <c r="J59" s="124">
        <v>44774</v>
      </c>
      <c r="K59" s="276" t="s">
        <v>2236</v>
      </c>
      <c r="L59" s="124" t="s">
        <v>2237</v>
      </c>
      <c r="M59" s="124"/>
      <c r="P59" s="59" t="s">
        <v>2201</v>
      </c>
      <c r="Q59" s="59" t="s">
        <v>2216</v>
      </c>
      <c r="R59" t="s">
        <v>26</v>
      </c>
      <c r="S59" s="59" t="s">
        <v>2234</v>
      </c>
      <c r="U59">
        <f t="shared" si="6"/>
        <v>370.33</v>
      </c>
      <c r="V59" s="274">
        <f t="shared" si="7"/>
        <v>529.04285714285709</v>
      </c>
      <c r="W59">
        <f t="shared" si="8"/>
        <v>52.904285714285713</v>
      </c>
      <c r="X59" s="261"/>
      <c r="Y59">
        <v>14640.81</v>
      </c>
      <c r="Z59" s="33"/>
      <c r="AA59" s="33"/>
      <c r="AB59" s="278"/>
      <c r="AC59" s="279"/>
      <c r="AD59" s="33"/>
      <c r="AE59" s="33"/>
      <c r="AF59" s="33"/>
      <c r="AG59" s="33"/>
      <c r="AH59" s="278"/>
      <c r="AI59" s="279"/>
      <c r="AJ59" s="33"/>
      <c r="AK59" s="33"/>
      <c r="AN59" s="33"/>
      <c r="AO59" s="33"/>
      <c r="AP59" s="33"/>
      <c r="AQ59" s="33"/>
      <c r="AR59" s="33"/>
      <c r="AS59" s="33"/>
    </row>
    <row r="60" spans="1:46">
      <c r="A60">
        <v>2021</v>
      </c>
      <c r="B60" t="s">
        <v>47</v>
      </c>
      <c r="C60">
        <v>5</v>
      </c>
      <c r="D60">
        <v>4</v>
      </c>
      <c r="E60">
        <v>10</v>
      </c>
      <c r="F60">
        <v>41.4</v>
      </c>
      <c r="G60">
        <v>297.89999999999998</v>
      </c>
      <c r="H60" s="124">
        <v>44767</v>
      </c>
      <c r="I60" s="124">
        <v>44774</v>
      </c>
      <c r="J60" s="124">
        <v>44774</v>
      </c>
      <c r="K60" s="276" t="s">
        <v>2236</v>
      </c>
      <c r="L60" s="124" t="s">
        <v>2237</v>
      </c>
      <c r="M60" s="124"/>
      <c r="P60" s="59" t="s">
        <v>2201</v>
      </c>
      <c r="Q60" s="59" t="s">
        <v>2216</v>
      </c>
      <c r="R60" t="s">
        <v>26</v>
      </c>
      <c r="S60" s="59" t="s">
        <v>2234</v>
      </c>
      <c r="U60">
        <f t="shared" si="6"/>
        <v>256.5</v>
      </c>
      <c r="V60" s="274">
        <f t="shared" si="7"/>
        <v>366.42857142857144</v>
      </c>
      <c r="W60">
        <f t="shared" si="8"/>
        <v>36.642857142857146</v>
      </c>
      <c r="X60" s="261"/>
      <c r="Y60">
        <v>15070.25</v>
      </c>
      <c r="AN60" s="33"/>
      <c r="AO60" s="33"/>
      <c r="AP60" s="33"/>
      <c r="AQ60" s="33"/>
      <c r="AR60" s="33"/>
      <c r="AS60" s="33"/>
    </row>
    <row r="61" spans="1:46">
      <c r="A61">
        <v>2021</v>
      </c>
      <c r="B61" t="s">
        <v>47</v>
      </c>
      <c r="C61">
        <v>6</v>
      </c>
      <c r="D61">
        <v>4</v>
      </c>
      <c r="E61">
        <v>10</v>
      </c>
      <c r="F61">
        <v>40.49</v>
      </c>
      <c r="G61">
        <v>260.29000000000002</v>
      </c>
      <c r="H61" s="124">
        <v>44767</v>
      </c>
      <c r="I61" s="124">
        <v>44774</v>
      </c>
      <c r="J61" s="124">
        <v>44774</v>
      </c>
      <c r="K61" s="276" t="s">
        <v>2236</v>
      </c>
      <c r="L61" s="124" t="s">
        <v>2237</v>
      </c>
      <c r="M61" s="124"/>
      <c r="P61" s="59" t="s">
        <v>2201</v>
      </c>
      <c r="Q61" s="59" t="s">
        <v>2216</v>
      </c>
      <c r="R61" t="s">
        <v>26</v>
      </c>
      <c r="S61" s="59" t="s">
        <v>2234</v>
      </c>
      <c r="U61">
        <f t="shared" si="6"/>
        <v>219.8</v>
      </c>
      <c r="V61" s="274">
        <f t="shared" si="7"/>
        <v>314</v>
      </c>
      <c r="W61">
        <f t="shared" si="8"/>
        <v>31.400000000000002</v>
      </c>
      <c r="X61" s="261"/>
      <c r="Y61">
        <v>14587.79</v>
      </c>
      <c r="AN61" s="33"/>
      <c r="AO61" s="33"/>
      <c r="AP61" s="33"/>
      <c r="AQ61" s="33"/>
      <c r="AR61" s="33"/>
      <c r="AS61" s="33"/>
    </row>
    <row r="62" spans="1:46">
      <c r="A62">
        <v>2021</v>
      </c>
      <c r="B62" t="s">
        <v>47</v>
      </c>
      <c r="C62">
        <v>7</v>
      </c>
      <c r="D62">
        <v>4</v>
      </c>
      <c r="E62">
        <v>10</v>
      </c>
      <c r="F62">
        <v>38.82</v>
      </c>
      <c r="G62">
        <v>288.72000000000003</v>
      </c>
      <c r="H62" s="124">
        <v>44767</v>
      </c>
      <c r="I62" s="124">
        <v>44774</v>
      </c>
      <c r="J62" s="124">
        <v>44774</v>
      </c>
      <c r="K62" s="276" t="s">
        <v>2236</v>
      </c>
      <c r="L62" s="124" t="s">
        <v>2237</v>
      </c>
      <c r="M62" s="124"/>
      <c r="P62" s="59" t="s">
        <v>2201</v>
      </c>
      <c r="Q62" s="59" t="s">
        <v>2216</v>
      </c>
      <c r="R62" t="s">
        <v>26</v>
      </c>
      <c r="S62" s="59" t="s">
        <v>2234</v>
      </c>
      <c r="U62">
        <f t="shared" si="6"/>
        <v>249.90000000000003</v>
      </c>
      <c r="V62" s="274">
        <f t="shared" si="7"/>
        <v>357</v>
      </c>
      <c r="W62">
        <f t="shared" si="8"/>
        <v>35.700000000000003</v>
      </c>
      <c r="X62" s="261"/>
      <c r="Y62">
        <v>15043.85</v>
      </c>
      <c r="AN62" s="33"/>
      <c r="AO62" s="33"/>
      <c r="AP62" s="33"/>
      <c r="AQ62" s="33"/>
      <c r="AR62" s="33"/>
      <c r="AS62" s="33"/>
    </row>
    <row r="63" spans="1:46">
      <c r="A63">
        <v>2021</v>
      </c>
      <c r="B63" t="s">
        <v>47</v>
      </c>
      <c r="C63">
        <v>8</v>
      </c>
      <c r="D63">
        <v>4</v>
      </c>
      <c r="E63">
        <v>10</v>
      </c>
      <c r="F63">
        <v>39.29</v>
      </c>
      <c r="G63">
        <v>223.76</v>
      </c>
      <c r="H63" s="124">
        <v>44767</v>
      </c>
      <c r="I63" s="124">
        <v>44774</v>
      </c>
      <c r="J63" s="124">
        <v>44774</v>
      </c>
      <c r="K63" s="276" t="s">
        <v>2236</v>
      </c>
      <c r="L63" s="124" t="s">
        <v>2237</v>
      </c>
      <c r="M63" s="124"/>
      <c r="P63" s="59" t="s">
        <v>2201</v>
      </c>
      <c r="Q63" s="59" t="s">
        <v>2216</v>
      </c>
      <c r="R63" t="s">
        <v>26</v>
      </c>
      <c r="S63" s="59" t="s">
        <v>2234</v>
      </c>
      <c r="U63">
        <f t="shared" si="6"/>
        <v>184.47</v>
      </c>
      <c r="V63" s="274">
        <f t="shared" si="7"/>
        <v>263.52857142857141</v>
      </c>
      <c r="W63">
        <f t="shared" si="8"/>
        <v>26.352857142857143</v>
      </c>
      <c r="X63" s="261"/>
      <c r="Y63">
        <v>15137.08</v>
      </c>
      <c r="AN63" s="33"/>
      <c r="AO63" s="33"/>
      <c r="AP63" s="33"/>
      <c r="AQ63" s="33"/>
      <c r="AR63" s="33"/>
      <c r="AS63" s="33"/>
    </row>
    <row r="64" spans="1:46">
      <c r="A64">
        <v>2021</v>
      </c>
      <c r="B64" t="s">
        <v>47</v>
      </c>
      <c r="C64">
        <v>9</v>
      </c>
      <c r="D64">
        <v>4</v>
      </c>
      <c r="E64">
        <v>10</v>
      </c>
      <c r="F64">
        <v>40.299999999999997</v>
      </c>
      <c r="G64">
        <v>270.45</v>
      </c>
      <c r="H64" s="124">
        <v>44767</v>
      </c>
      <c r="I64" s="124">
        <v>44774</v>
      </c>
      <c r="J64" s="124">
        <v>44774</v>
      </c>
      <c r="K64" s="276" t="s">
        <v>2236</v>
      </c>
      <c r="L64" s="124" t="s">
        <v>2237</v>
      </c>
      <c r="M64" s="124"/>
      <c r="P64" s="59" t="s">
        <v>2201</v>
      </c>
      <c r="Q64" s="59" t="s">
        <v>2216</v>
      </c>
      <c r="R64" t="s">
        <v>26</v>
      </c>
      <c r="S64" s="59" t="s">
        <v>2234</v>
      </c>
      <c r="U64">
        <f t="shared" si="6"/>
        <v>230.14999999999998</v>
      </c>
      <c r="V64" s="274">
        <f t="shared" si="7"/>
        <v>328.78571428571428</v>
      </c>
      <c r="W64">
        <f t="shared" si="8"/>
        <v>32.878571428571426</v>
      </c>
      <c r="X64" s="261"/>
      <c r="Y64">
        <v>14565.06</v>
      </c>
      <c r="AN64" s="33"/>
      <c r="AO64" s="33"/>
      <c r="AP64" s="33"/>
      <c r="AQ64" s="33"/>
      <c r="AR64" s="33"/>
      <c r="AS64" s="33"/>
    </row>
    <row r="65" spans="1:45">
      <c r="A65">
        <v>2021</v>
      </c>
      <c r="B65" t="s">
        <v>47</v>
      </c>
      <c r="C65">
        <v>10</v>
      </c>
      <c r="D65">
        <v>4</v>
      </c>
      <c r="E65">
        <v>10</v>
      </c>
      <c r="F65">
        <v>41.15</v>
      </c>
      <c r="G65">
        <v>358.82</v>
      </c>
      <c r="H65" s="124">
        <v>44767</v>
      </c>
      <c r="I65" s="124">
        <v>44774</v>
      </c>
      <c r="J65" s="124">
        <v>44774</v>
      </c>
      <c r="K65" s="276" t="s">
        <v>2236</v>
      </c>
      <c r="L65" s="124" t="s">
        <v>2237</v>
      </c>
      <c r="M65" s="124"/>
      <c r="P65" s="59" t="s">
        <v>2201</v>
      </c>
      <c r="Q65" s="59" t="s">
        <v>2216</v>
      </c>
      <c r="R65" t="s">
        <v>26</v>
      </c>
      <c r="S65" s="59" t="s">
        <v>2234</v>
      </c>
      <c r="U65">
        <f t="shared" si="6"/>
        <v>317.67</v>
      </c>
      <c r="V65" s="274">
        <f t="shared" si="7"/>
        <v>453.81428571428569</v>
      </c>
      <c r="W65">
        <f t="shared" si="8"/>
        <v>45.381428571428572</v>
      </c>
      <c r="X65" s="261"/>
      <c r="Y65">
        <v>14624.22</v>
      </c>
      <c r="AN65" s="33"/>
      <c r="AO65" s="33"/>
      <c r="AP65" s="33"/>
      <c r="AQ65" s="33"/>
      <c r="AR65" s="33"/>
      <c r="AS65" s="33"/>
    </row>
    <row r="66" spans="1:45">
      <c r="A66">
        <v>2021</v>
      </c>
      <c r="B66" t="s">
        <v>47</v>
      </c>
      <c r="C66">
        <v>11</v>
      </c>
      <c r="D66">
        <v>4</v>
      </c>
      <c r="E66">
        <v>10</v>
      </c>
      <c r="F66">
        <v>38.869999999999997</v>
      </c>
      <c r="G66">
        <v>427.39</v>
      </c>
      <c r="H66" s="124">
        <v>44767</v>
      </c>
      <c r="I66" s="124">
        <v>44774</v>
      </c>
      <c r="J66" s="124">
        <v>44774</v>
      </c>
      <c r="K66" s="276" t="s">
        <v>2236</v>
      </c>
      <c r="L66" s="124" t="s">
        <v>2237</v>
      </c>
      <c r="P66" s="59" t="s">
        <v>2201</v>
      </c>
      <c r="Q66" s="59" t="s">
        <v>2216</v>
      </c>
      <c r="R66" t="s">
        <v>26</v>
      </c>
      <c r="S66" s="59" t="s">
        <v>2234</v>
      </c>
      <c r="U66">
        <f t="shared" si="6"/>
        <v>388.52</v>
      </c>
      <c r="V66" s="274">
        <f t="shared" si="7"/>
        <v>555.02857142857135</v>
      </c>
      <c r="W66">
        <f t="shared" si="8"/>
        <v>55.502857142857138</v>
      </c>
      <c r="Y66">
        <v>15032.99</v>
      </c>
      <c r="AN66" s="33"/>
      <c r="AO66" s="33"/>
      <c r="AP66" s="33"/>
      <c r="AQ66" s="33"/>
      <c r="AR66" s="33"/>
      <c r="AS66" s="33"/>
    </row>
    <row r="67" spans="1:45">
      <c r="A67">
        <v>2021</v>
      </c>
      <c r="B67" t="s">
        <v>47</v>
      </c>
      <c r="C67">
        <v>12</v>
      </c>
      <c r="D67">
        <v>4</v>
      </c>
      <c r="E67">
        <v>10</v>
      </c>
      <c r="F67">
        <v>39.75</v>
      </c>
      <c r="G67">
        <v>549.58000000000004</v>
      </c>
      <c r="H67" s="124">
        <v>44767</v>
      </c>
      <c r="I67" s="124">
        <v>44774</v>
      </c>
      <c r="J67" s="124">
        <v>44774</v>
      </c>
      <c r="K67" s="276" t="s">
        <v>2236</v>
      </c>
      <c r="L67" s="124" t="s">
        <v>2237</v>
      </c>
      <c r="P67" s="59" t="s">
        <v>2201</v>
      </c>
      <c r="Q67" s="59" t="s">
        <v>2216</v>
      </c>
      <c r="R67" t="s">
        <v>26</v>
      </c>
      <c r="S67" s="59" t="s">
        <v>2234</v>
      </c>
      <c r="U67">
        <f t="shared" si="6"/>
        <v>509.83000000000004</v>
      </c>
      <c r="V67" s="274">
        <f t="shared" si="7"/>
        <v>728.32857142857154</v>
      </c>
      <c r="W67">
        <f t="shared" si="8"/>
        <v>72.832857142857151</v>
      </c>
      <c r="Y67">
        <v>14557.47</v>
      </c>
    </row>
    <row r="68" spans="1:45">
      <c r="A68">
        <v>2021</v>
      </c>
      <c r="B68" t="s">
        <v>47</v>
      </c>
      <c r="C68">
        <v>13</v>
      </c>
      <c r="D68">
        <v>4</v>
      </c>
      <c r="E68">
        <v>10</v>
      </c>
      <c r="F68">
        <v>38.869999999999997</v>
      </c>
      <c r="G68">
        <v>525.5</v>
      </c>
      <c r="H68" s="124">
        <v>44770</v>
      </c>
      <c r="I68" s="124">
        <v>44774</v>
      </c>
      <c r="J68" s="124">
        <v>44774</v>
      </c>
      <c r="K68" s="276" t="s">
        <v>2236</v>
      </c>
      <c r="L68" s="124" t="s">
        <v>2237</v>
      </c>
      <c r="P68" s="59" t="s">
        <v>2201</v>
      </c>
      <c r="Q68" s="59" t="s">
        <v>2221</v>
      </c>
      <c r="R68" t="s">
        <v>26</v>
      </c>
      <c r="S68" s="59" t="s">
        <v>2235</v>
      </c>
      <c r="U68">
        <f t="shared" si="6"/>
        <v>486.63</v>
      </c>
      <c r="V68" s="274">
        <f t="shared" si="7"/>
        <v>695.18571428571431</v>
      </c>
      <c r="W68">
        <f t="shared" si="8"/>
        <v>69.518571428571434</v>
      </c>
      <c r="Y68">
        <v>14503.73</v>
      </c>
    </row>
    <row r="69" spans="1:45">
      <c r="A69">
        <v>2021</v>
      </c>
      <c r="B69" t="s">
        <v>47</v>
      </c>
      <c r="C69">
        <v>14</v>
      </c>
      <c r="D69">
        <v>4</v>
      </c>
      <c r="E69">
        <v>10</v>
      </c>
      <c r="F69">
        <v>39.869999999999997</v>
      </c>
      <c r="G69">
        <v>506.84</v>
      </c>
      <c r="H69" s="124">
        <v>44770</v>
      </c>
      <c r="I69" s="124">
        <v>44774</v>
      </c>
      <c r="J69" s="124">
        <v>44774</v>
      </c>
      <c r="K69" s="276" t="s">
        <v>2236</v>
      </c>
      <c r="L69" s="124" t="s">
        <v>2237</v>
      </c>
      <c r="P69" s="59" t="s">
        <v>2201</v>
      </c>
      <c r="Q69" s="59" t="s">
        <v>2221</v>
      </c>
      <c r="R69" t="s">
        <v>26</v>
      </c>
      <c r="S69" s="59" t="s">
        <v>2235</v>
      </c>
      <c r="U69">
        <f t="shared" si="6"/>
        <v>466.96999999999997</v>
      </c>
      <c r="V69" s="274">
        <f t="shared" si="7"/>
        <v>667.09999999999991</v>
      </c>
      <c r="W69">
        <f t="shared" si="8"/>
        <v>66.709999999999994</v>
      </c>
      <c r="Y69">
        <v>15031.49</v>
      </c>
    </row>
    <row r="70" spans="1:45">
      <c r="A70">
        <v>2021</v>
      </c>
      <c r="B70" t="s">
        <v>47</v>
      </c>
      <c r="C70">
        <v>15</v>
      </c>
      <c r="D70">
        <v>4</v>
      </c>
      <c r="E70">
        <v>10</v>
      </c>
      <c r="F70">
        <v>40.799999999999997</v>
      </c>
      <c r="G70">
        <v>455.01</v>
      </c>
      <c r="H70" s="124">
        <v>44770</v>
      </c>
      <c r="I70" s="124">
        <v>44774</v>
      </c>
      <c r="J70" s="124">
        <v>44774</v>
      </c>
      <c r="K70" s="276" t="s">
        <v>2236</v>
      </c>
      <c r="L70" s="124" t="s">
        <v>2237</v>
      </c>
      <c r="P70" s="59" t="s">
        <v>2201</v>
      </c>
      <c r="Q70" s="59" t="s">
        <v>2221</v>
      </c>
      <c r="R70" t="s">
        <v>26</v>
      </c>
      <c r="S70" s="59" t="s">
        <v>2235</v>
      </c>
      <c r="U70">
        <f t="shared" si="6"/>
        <v>414.21</v>
      </c>
      <c r="V70" s="274">
        <f t="shared" si="7"/>
        <v>591.7285714285714</v>
      </c>
      <c r="W70">
        <f t="shared" si="8"/>
        <v>59.17285714285714</v>
      </c>
      <c r="Y70">
        <v>14486.99</v>
      </c>
    </row>
    <row r="71" spans="1:45" s="281" customFormat="1">
      <c r="A71" s="281">
        <v>2021</v>
      </c>
      <c r="B71" s="281" t="s">
        <v>47</v>
      </c>
      <c r="C71" s="281" t="s">
        <v>2219</v>
      </c>
      <c r="D71" s="281">
        <v>4</v>
      </c>
      <c r="E71" s="281">
        <v>7</v>
      </c>
      <c r="F71" s="281">
        <v>40.68</v>
      </c>
      <c r="G71" s="281">
        <v>539.76</v>
      </c>
      <c r="H71" s="124">
        <v>44770</v>
      </c>
      <c r="I71" s="124">
        <v>44774</v>
      </c>
      <c r="J71" s="124">
        <v>44774</v>
      </c>
      <c r="K71" s="276" t="s">
        <v>2236</v>
      </c>
      <c r="L71" s="124" t="s">
        <v>2237</v>
      </c>
      <c r="P71" s="284" t="s">
        <v>2201</v>
      </c>
      <c r="Q71" s="284" t="s">
        <v>2221</v>
      </c>
      <c r="R71" s="281" t="s">
        <v>26</v>
      </c>
      <c r="S71" s="59" t="s">
        <v>2235</v>
      </c>
      <c r="U71" s="281">
        <f t="shared" si="6"/>
        <v>499.08</v>
      </c>
      <c r="V71" s="281">
        <f>((U71+U72)/7)*10</f>
        <v>1266.7714285714285</v>
      </c>
      <c r="W71" s="281">
        <f>U71/4</f>
        <v>124.77</v>
      </c>
      <c r="X71" s="286">
        <f>ABS(W71-W72)</f>
        <v>4.4500000000000028</v>
      </c>
      <c r="Y71" s="281">
        <v>15009.73</v>
      </c>
    </row>
    <row r="72" spans="1:45" s="281" customFormat="1">
      <c r="A72" s="281">
        <v>2021</v>
      </c>
      <c r="B72" s="281" t="s">
        <v>47</v>
      </c>
      <c r="C72" s="281" t="s">
        <v>2220</v>
      </c>
      <c r="D72" s="281">
        <v>8</v>
      </c>
      <c r="E72" s="281">
        <v>10</v>
      </c>
      <c r="F72" s="281">
        <v>40.17</v>
      </c>
      <c r="G72" s="281">
        <v>427.83</v>
      </c>
      <c r="H72" s="124">
        <v>44770</v>
      </c>
      <c r="I72" s="124">
        <v>44774</v>
      </c>
      <c r="J72" s="124">
        <v>44774</v>
      </c>
      <c r="K72" s="276" t="s">
        <v>2236</v>
      </c>
      <c r="L72" s="124" t="s">
        <v>2237</v>
      </c>
      <c r="P72" s="284" t="s">
        <v>2201</v>
      </c>
      <c r="Q72" s="284" t="s">
        <v>2221</v>
      </c>
      <c r="R72" s="281" t="s">
        <v>26</v>
      </c>
      <c r="S72" s="59" t="s">
        <v>2235</v>
      </c>
      <c r="U72" s="281">
        <f t="shared" si="6"/>
        <v>387.65999999999997</v>
      </c>
      <c r="W72" s="281">
        <f>U72/3</f>
        <v>129.22</v>
      </c>
      <c r="X72" s="287">
        <f>X71/SUM(U71,U72)</f>
        <v>5.0183819383359304E-3</v>
      </c>
    </row>
    <row r="73" spans="1:45" s="281" customFormat="1">
      <c r="A73" s="281">
        <v>2021</v>
      </c>
      <c r="B73" s="281" t="s">
        <v>47</v>
      </c>
      <c r="C73" s="281" t="s">
        <v>2228</v>
      </c>
      <c r="D73" s="281">
        <v>4</v>
      </c>
      <c r="E73" s="281">
        <v>7</v>
      </c>
      <c r="F73" s="281">
        <v>39.33</v>
      </c>
      <c r="G73" s="281">
        <v>530.49</v>
      </c>
      <c r="H73" s="124">
        <v>44770</v>
      </c>
      <c r="I73" s="124">
        <v>44774</v>
      </c>
      <c r="J73" s="124">
        <v>44774</v>
      </c>
      <c r="K73" s="276" t="s">
        <v>2236</v>
      </c>
      <c r="L73" s="124" t="s">
        <v>2237</v>
      </c>
      <c r="P73" s="284" t="s">
        <v>2201</v>
      </c>
      <c r="Q73" s="284" t="s">
        <v>2221</v>
      </c>
      <c r="R73" s="281" t="s">
        <v>26</v>
      </c>
      <c r="S73" s="59" t="s">
        <v>2235</v>
      </c>
      <c r="U73" s="281">
        <f t="shared" si="6"/>
        <v>491.16</v>
      </c>
      <c r="V73" s="281">
        <f>((U73+U74)/7)*10</f>
        <v>1244.3</v>
      </c>
      <c r="W73" s="281">
        <f>U73/4</f>
        <v>122.79</v>
      </c>
      <c r="X73" s="286">
        <f>ABS(W73-W74)</f>
        <v>3.826666666666668</v>
      </c>
      <c r="Y73" s="281">
        <v>15007.82</v>
      </c>
    </row>
    <row r="74" spans="1:45" s="281" customFormat="1">
      <c r="A74" s="281">
        <v>2021</v>
      </c>
      <c r="B74" s="281" t="s">
        <v>47</v>
      </c>
      <c r="C74" s="281" t="s">
        <v>2229</v>
      </c>
      <c r="D74" s="281">
        <v>8</v>
      </c>
      <c r="E74" s="281">
        <v>10</v>
      </c>
      <c r="F74" s="281">
        <v>38.83</v>
      </c>
      <c r="G74" s="281">
        <v>418.68</v>
      </c>
      <c r="H74" s="124">
        <v>44770</v>
      </c>
      <c r="I74" s="124">
        <v>44774</v>
      </c>
      <c r="J74" s="124">
        <v>44774</v>
      </c>
      <c r="K74" s="276" t="s">
        <v>2236</v>
      </c>
      <c r="L74" s="124" t="s">
        <v>2237</v>
      </c>
      <c r="P74" s="284" t="s">
        <v>2201</v>
      </c>
      <c r="Q74" s="284" t="s">
        <v>2221</v>
      </c>
      <c r="R74" s="281" t="s">
        <v>26</v>
      </c>
      <c r="S74" s="59" t="s">
        <v>2235</v>
      </c>
      <c r="U74" s="281">
        <f t="shared" si="6"/>
        <v>379.85</v>
      </c>
      <c r="W74" s="281">
        <f>U74/3</f>
        <v>126.61666666666667</v>
      </c>
      <c r="X74" s="287">
        <f>X73/SUM(U73,U74)</f>
        <v>4.3933670872512006E-3</v>
      </c>
    </row>
    <row r="75" spans="1:45">
      <c r="A75">
        <v>2021</v>
      </c>
      <c r="B75" t="s">
        <v>47</v>
      </c>
      <c r="C75">
        <v>18</v>
      </c>
      <c r="D75">
        <v>4</v>
      </c>
      <c r="E75">
        <v>10</v>
      </c>
      <c r="F75">
        <v>39.42</v>
      </c>
      <c r="G75" s="289">
        <v>617.9</v>
      </c>
      <c r="H75" s="124">
        <v>44770</v>
      </c>
      <c r="I75" s="124">
        <v>44774</v>
      </c>
      <c r="J75" s="124">
        <v>44774</v>
      </c>
      <c r="K75" s="276" t="s">
        <v>2236</v>
      </c>
      <c r="L75" s="124" t="s">
        <v>2237</v>
      </c>
      <c r="P75" s="59" t="s">
        <v>2201</v>
      </c>
      <c r="Q75" s="59" t="s">
        <v>2221</v>
      </c>
      <c r="R75" t="s">
        <v>26</v>
      </c>
      <c r="S75" s="59" t="s">
        <v>2235</v>
      </c>
      <c r="U75">
        <f t="shared" si="6"/>
        <v>578.48</v>
      </c>
      <c r="V75" s="274">
        <f t="shared" si="7"/>
        <v>826.4</v>
      </c>
      <c r="W75">
        <f t="shared" si="8"/>
        <v>82.64</v>
      </c>
      <c r="Y75">
        <v>14623.94</v>
      </c>
    </row>
    <row r="76" spans="1:45">
      <c r="A76">
        <v>2021</v>
      </c>
      <c r="B76" t="s">
        <v>47</v>
      </c>
      <c r="C76">
        <v>19</v>
      </c>
      <c r="D76">
        <v>4</v>
      </c>
      <c r="E76">
        <v>10</v>
      </c>
      <c r="F76">
        <v>41.21</v>
      </c>
      <c r="G76" s="289">
        <v>415.48</v>
      </c>
      <c r="H76" s="124">
        <v>44770</v>
      </c>
      <c r="I76" s="124">
        <v>44774</v>
      </c>
      <c r="J76" s="124">
        <v>44774</v>
      </c>
      <c r="K76" s="276" t="s">
        <v>2236</v>
      </c>
      <c r="L76" s="124" t="s">
        <v>2237</v>
      </c>
      <c r="P76" s="59" t="s">
        <v>2201</v>
      </c>
      <c r="Q76" s="59" t="s">
        <v>2221</v>
      </c>
      <c r="R76" t="s">
        <v>26</v>
      </c>
      <c r="S76" s="59" t="s">
        <v>2235</v>
      </c>
      <c r="U76">
        <f t="shared" si="6"/>
        <v>374.27000000000004</v>
      </c>
      <c r="V76" s="274">
        <f t="shared" si="7"/>
        <v>534.67142857142858</v>
      </c>
      <c r="W76">
        <f t="shared" si="8"/>
        <v>53.467142857142861</v>
      </c>
      <c r="Y76">
        <v>14533.81</v>
      </c>
    </row>
    <row r="77" spans="1:45">
      <c r="A77">
        <v>2021</v>
      </c>
      <c r="B77" t="s">
        <v>47</v>
      </c>
      <c r="C77">
        <v>20</v>
      </c>
      <c r="D77">
        <v>4</v>
      </c>
      <c r="E77">
        <v>10</v>
      </c>
      <c r="F77">
        <v>39.6</v>
      </c>
      <c r="G77" s="289">
        <v>255.03</v>
      </c>
      <c r="H77" s="124">
        <v>44770</v>
      </c>
      <c r="I77" s="124">
        <v>44774</v>
      </c>
      <c r="J77" s="124">
        <v>44774</v>
      </c>
      <c r="K77" s="276" t="s">
        <v>2236</v>
      </c>
      <c r="L77" s="124" t="s">
        <v>2237</v>
      </c>
      <c r="P77" s="59" t="s">
        <v>2201</v>
      </c>
      <c r="Q77" s="59" t="s">
        <v>2221</v>
      </c>
      <c r="R77" t="s">
        <v>26</v>
      </c>
      <c r="S77" s="59" t="s">
        <v>2235</v>
      </c>
      <c r="U77">
        <f t="shared" si="6"/>
        <v>215.43</v>
      </c>
      <c r="V77" s="274">
        <f t="shared" si="7"/>
        <v>307.75714285714287</v>
      </c>
      <c r="W77">
        <f t="shared" si="8"/>
        <v>30.775714285714287</v>
      </c>
      <c r="Y77">
        <v>14518.7</v>
      </c>
    </row>
    <row r="78" spans="1:45">
      <c r="A78">
        <v>2021</v>
      </c>
      <c r="B78" t="s">
        <v>47</v>
      </c>
      <c r="C78">
        <v>21</v>
      </c>
      <c r="D78">
        <v>4</v>
      </c>
      <c r="E78">
        <v>10</v>
      </c>
      <c r="F78">
        <v>39.43</v>
      </c>
      <c r="G78" s="289">
        <v>311.33</v>
      </c>
      <c r="H78" s="124">
        <v>44770</v>
      </c>
      <c r="I78" s="124">
        <v>44774</v>
      </c>
      <c r="J78" s="124">
        <v>44774</v>
      </c>
      <c r="K78" s="276" t="s">
        <v>2236</v>
      </c>
      <c r="L78" s="124" t="s">
        <v>2237</v>
      </c>
      <c r="P78" s="59" t="s">
        <v>2201</v>
      </c>
      <c r="Q78" s="59" t="s">
        <v>2221</v>
      </c>
      <c r="R78" t="s">
        <v>26</v>
      </c>
      <c r="S78" s="59" t="s">
        <v>2235</v>
      </c>
      <c r="U78">
        <f t="shared" si="6"/>
        <v>271.89999999999998</v>
      </c>
      <c r="V78" s="274">
        <f t="shared" si="7"/>
        <v>388.42857142857144</v>
      </c>
      <c r="W78">
        <f t="shared" si="8"/>
        <v>38.842857142857142</v>
      </c>
      <c r="Y78">
        <v>15055.87</v>
      </c>
    </row>
  </sheetData>
  <conditionalFormatting sqref="U1:U4">
    <cfRule type="cellIs" dxfId="6" priority="1" operator="lessThan">
      <formula>10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AAF6F-6F6F-480A-9B47-2850C247B2E8}">
  <dimension ref="A1:AC65"/>
  <sheetViews>
    <sheetView workbookViewId="0">
      <selection activeCell="O57" sqref="O57"/>
    </sheetView>
  </sheetViews>
  <sheetFormatPr defaultRowHeight="14.5"/>
  <cols>
    <col min="6" max="6" width="11.54296875" customWidth="1"/>
    <col min="13" max="13" width="10.7265625" bestFit="1" customWidth="1"/>
    <col min="20" max="20" width="39.81640625" bestFit="1" customWidth="1"/>
    <col min="22" max="22" width="12.1796875" bestFit="1" customWidth="1"/>
  </cols>
  <sheetData>
    <row r="1" spans="1:28" ht="15.5">
      <c r="A1" s="184" t="s">
        <v>183</v>
      </c>
      <c r="B1" s="184" t="s">
        <v>184</v>
      </c>
      <c r="C1" s="184" t="s">
        <v>185</v>
      </c>
      <c r="D1" s="185" t="s">
        <v>219</v>
      </c>
      <c r="E1" s="185" t="s">
        <v>2019</v>
      </c>
      <c r="F1" s="185" t="s">
        <v>2020</v>
      </c>
      <c r="G1" s="186" t="s">
        <v>219</v>
      </c>
      <c r="H1" s="187" t="s">
        <v>2021</v>
      </c>
      <c r="I1" s="186" t="s">
        <v>219</v>
      </c>
      <c r="J1" s="188" t="s">
        <v>262</v>
      </c>
      <c r="K1" s="189" t="s">
        <v>220</v>
      </c>
      <c r="L1" s="187" t="s">
        <v>2021</v>
      </c>
      <c r="M1" s="190" t="s">
        <v>220</v>
      </c>
      <c r="N1" s="185" t="s">
        <v>220</v>
      </c>
      <c r="O1" s="187" t="s">
        <v>2021</v>
      </c>
      <c r="P1" s="186" t="s">
        <v>220</v>
      </c>
      <c r="Q1" s="188" t="s">
        <v>262</v>
      </c>
      <c r="R1" s="187" t="s">
        <v>2022</v>
      </c>
      <c r="S1" s="184" t="s">
        <v>2023</v>
      </c>
      <c r="T1" s="186" t="s">
        <v>2024</v>
      </c>
      <c r="U1" s="186" t="s">
        <v>2025</v>
      </c>
      <c r="V1" s="186"/>
      <c r="W1" s="186"/>
      <c r="X1" s="186"/>
      <c r="Y1" s="186"/>
      <c r="Z1" s="186"/>
      <c r="AA1" s="186"/>
      <c r="AB1" s="186"/>
    </row>
    <row r="2" spans="1:28" ht="15.5">
      <c r="A2" s="184"/>
      <c r="B2" s="184" t="s">
        <v>2026</v>
      </c>
      <c r="C2" s="184"/>
      <c r="D2" s="185"/>
      <c r="E2" s="191" t="s">
        <v>2027</v>
      </c>
      <c r="F2" s="191"/>
      <c r="G2" s="186" t="s">
        <v>2028</v>
      </c>
      <c r="H2" s="191" t="s">
        <v>2027</v>
      </c>
      <c r="I2" s="186" t="s">
        <v>2029</v>
      </c>
      <c r="J2" s="188" t="s">
        <v>2029</v>
      </c>
      <c r="K2" s="192"/>
      <c r="L2" s="191" t="s">
        <v>2027</v>
      </c>
      <c r="M2" s="188" t="s">
        <v>2030</v>
      </c>
      <c r="N2" s="185" t="s">
        <v>2028</v>
      </c>
      <c r="O2" s="191" t="s">
        <v>2027</v>
      </c>
      <c r="P2" s="186" t="s">
        <v>2029</v>
      </c>
      <c r="Q2" s="188" t="s">
        <v>2029</v>
      </c>
      <c r="R2" s="187"/>
      <c r="S2" s="184"/>
      <c r="T2" s="184"/>
      <c r="U2" s="184" t="s">
        <v>2031</v>
      </c>
      <c r="V2" s="184"/>
      <c r="W2" s="186"/>
      <c r="X2" s="186"/>
      <c r="Y2" s="186"/>
      <c r="Z2" s="193"/>
      <c r="AA2" s="193"/>
      <c r="AB2" s="186"/>
    </row>
    <row r="3" spans="1:28" ht="15.5">
      <c r="A3" s="70">
        <v>2021</v>
      </c>
      <c r="B3" s="70">
        <v>1000</v>
      </c>
      <c r="C3" s="70">
        <v>1</v>
      </c>
      <c r="D3" s="70">
        <v>36.979999999999997</v>
      </c>
      <c r="E3" s="70">
        <v>26</v>
      </c>
      <c r="F3" s="124">
        <v>44368</v>
      </c>
      <c r="K3">
        <v>6.84</v>
      </c>
      <c r="L3">
        <v>25.6</v>
      </c>
      <c r="M3" s="124">
        <v>44368</v>
      </c>
      <c r="R3" t="s">
        <v>26</v>
      </c>
      <c r="S3" s="460" t="s">
        <v>2049</v>
      </c>
      <c r="T3" s="70" t="s">
        <v>2032</v>
      </c>
      <c r="U3" s="194"/>
      <c r="V3" s="195">
        <v>44368</v>
      </c>
      <c r="W3" s="194"/>
      <c r="X3" s="194"/>
      <c r="Y3" s="70"/>
      <c r="Z3" s="70"/>
      <c r="AA3" s="70"/>
      <c r="AB3" s="70"/>
    </row>
    <row r="4" spans="1:28" ht="15.5">
      <c r="A4" s="70">
        <v>2021</v>
      </c>
      <c r="B4" s="70">
        <v>1000</v>
      </c>
      <c r="C4" s="194">
        <v>2</v>
      </c>
      <c r="D4">
        <v>38.82</v>
      </c>
      <c r="E4">
        <v>26.7</v>
      </c>
      <c r="F4" s="124">
        <v>44368</v>
      </c>
      <c r="K4">
        <v>8.31</v>
      </c>
      <c r="L4">
        <v>26.7</v>
      </c>
      <c r="M4" s="124">
        <v>44368</v>
      </c>
      <c r="R4" t="s">
        <v>26</v>
      </c>
      <c r="S4" s="460"/>
      <c r="T4" s="174" t="s">
        <v>2033</v>
      </c>
      <c r="U4" s="68" t="s">
        <v>2047</v>
      </c>
      <c r="V4" s="194"/>
      <c r="W4" s="194"/>
      <c r="X4" s="194"/>
      <c r="Y4" s="194"/>
      <c r="Z4" s="194"/>
      <c r="AA4" s="194"/>
      <c r="AB4" s="194"/>
    </row>
    <row r="5" spans="1:28" ht="15.5">
      <c r="A5" s="70">
        <v>2021</v>
      </c>
      <c r="B5" s="70">
        <v>1000</v>
      </c>
      <c r="C5" s="194">
        <v>3</v>
      </c>
      <c r="D5">
        <v>38.619999999999997</v>
      </c>
      <c r="E5">
        <v>27.1</v>
      </c>
      <c r="F5" s="124">
        <v>44368</v>
      </c>
      <c r="G5">
        <v>38.380000000000003</v>
      </c>
      <c r="H5">
        <v>26.9</v>
      </c>
      <c r="I5">
        <f>D5-G5</f>
        <v>0.23999999999999488</v>
      </c>
      <c r="J5" s="196">
        <f>(I5/AVERAGE(G5,D5))*100</f>
        <v>0.62337662337661015</v>
      </c>
      <c r="K5">
        <v>8.27</v>
      </c>
      <c r="L5">
        <v>26.7</v>
      </c>
      <c r="M5" s="124">
        <v>44368</v>
      </c>
      <c r="N5">
        <v>8.27</v>
      </c>
      <c r="O5">
        <v>26.6</v>
      </c>
      <c r="P5">
        <f>K5-N5</f>
        <v>0</v>
      </c>
      <c r="Q5" s="196">
        <f>(P5/AVERAGE(N5,K5))*100</f>
        <v>0</v>
      </c>
      <c r="R5" t="s">
        <v>26</v>
      </c>
      <c r="S5" s="460"/>
      <c r="T5" s="70" t="s">
        <v>2045</v>
      </c>
      <c r="U5" s="70" t="s">
        <v>2034</v>
      </c>
      <c r="V5" s="194"/>
      <c r="W5" s="70" t="s">
        <v>2035</v>
      </c>
      <c r="X5" s="194"/>
      <c r="Y5" s="194" t="s">
        <v>2036</v>
      </c>
      <c r="Z5" s="194" t="s">
        <v>2037</v>
      </c>
      <c r="AA5" s="194"/>
      <c r="AB5" s="194"/>
    </row>
    <row r="6" spans="1:28" ht="15.5">
      <c r="A6" s="70">
        <v>2021</v>
      </c>
      <c r="B6" s="70">
        <v>1000</v>
      </c>
      <c r="C6" s="194">
        <v>4</v>
      </c>
      <c r="D6">
        <v>38.869999999999997</v>
      </c>
      <c r="E6">
        <v>26.9</v>
      </c>
      <c r="F6" s="124">
        <v>44368</v>
      </c>
      <c r="J6" s="196"/>
      <c r="K6">
        <v>8.33</v>
      </c>
      <c r="L6">
        <v>26.5</v>
      </c>
      <c r="M6" s="124">
        <v>44368</v>
      </c>
      <c r="Q6" s="196"/>
      <c r="R6" t="s">
        <v>26</v>
      </c>
      <c r="S6" s="460"/>
      <c r="T6" s="70"/>
      <c r="U6" s="197"/>
      <c r="V6" s="198"/>
      <c r="W6" s="194"/>
      <c r="X6" s="194"/>
      <c r="Y6" s="197"/>
      <c r="Z6" s="194">
        <f>_xlfn.STDEV.P(Y7:Y9,Y12:Y15)</f>
        <v>7.001908420213589E-3</v>
      </c>
      <c r="AA6" s="194">
        <f>Z6/SQRT(COUNT(Y7:Y9,Y12:Y14))</f>
        <v>2.8585171425367256E-3</v>
      </c>
      <c r="AB6" s="199">
        <f>AA6</f>
        <v>2.8585171425367256E-3</v>
      </c>
    </row>
    <row r="7" spans="1:28" ht="15.5">
      <c r="A7" s="70">
        <v>2021</v>
      </c>
      <c r="B7" s="70">
        <v>1000</v>
      </c>
      <c r="C7" s="194">
        <v>5</v>
      </c>
      <c r="D7">
        <v>39.18</v>
      </c>
      <c r="E7">
        <v>26.9</v>
      </c>
      <c r="F7" s="124">
        <v>44368</v>
      </c>
      <c r="J7" s="196"/>
      <c r="K7">
        <v>8.34</v>
      </c>
      <c r="L7">
        <v>26.9</v>
      </c>
      <c r="M7" s="124">
        <v>44368</v>
      </c>
      <c r="Q7" s="196"/>
      <c r="R7" t="s">
        <v>26</v>
      </c>
      <c r="S7" s="460"/>
      <c r="T7" s="70" t="s">
        <v>2038</v>
      </c>
      <c r="U7" s="194">
        <v>49.7</v>
      </c>
      <c r="V7" s="198" t="s">
        <v>2039</v>
      </c>
      <c r="W7" s="70">
        <v>21.6</v>
      </c>
      <c r="X7" s="194"/>
      <c r="Y7" s="194">
        <f>(50-U7)/50</f>
        <v>5.9999999999999429E-3</v>
      </c>
      <c r="Z7" s="194"/>
      <c r="AA7" s="194"/>
      <c r="AB7" s="194"/>
    </row>
    <row r="8" spans="1:28" ht="15.5">
      <c r="A8" s="70">
        <v>2021</v>
      </c>
      <c r="B8" s="70">
        <v>1000</v>
      </c>
      <c r="C8" s="70">
        <v>6</v>
      </c>
      <c r="D8" s="70">
        <v>40.200000000000003</v>
      </c>
      <c r="E8">
        <v>27.5</v>
      </c>
      <c r="F8" s="124">
        <v>44368</v>
      </c>
      <c r="J8" s="196"/>
      <c r="K8">
        <v>8.39</v>
      </c>
      <c r="L8">
        <v>27.4</v>
      </c>
      <c r="M8" s="124">
        <v>44368</v>
      </c>
      <c r="Q8" s="196"/>
      <c r="R8" t="s">
        <v>26</v>
      </c>
      <c r="S8" s="460"/>
      <c r="T8" s="70" t="s">
        <v>2040</v>
      </c>
      <c r="U8" s="194">
        <v>52.8</v>
      </c>
      <c r="V8" s="198" t="s">
        <v>2039</v>
      </c>
      <c r="W8" s="194">
        <v>21.6</v>
      </c>
      <c r="X8" s="194"/>
      <c r="Y8" s="200">
        <f>(53-U8)/53</f>
        <v>3.7735849056604312E-3</v>
      </c>
      <c r="Z8" s="194"/>
      <c r="AA8" s="194"/>
      <c r="AB8" s="194"/>
    </row>
    <row r="9" spans="1:28" ht="15.5">
      <c r="A9" s="70">
        <v>2021</v>
      </c>
      <c r="B9" s="70">
        <v>1000</v>
      </c>
      <c r="C9" s="194">
        <v>7</v>
      </c>
      <c r="D9">
        <v>39.86</v>
      </c>
      <c r="E9">
        <v>27.3</v>
      </c>
      <c r="F9" s="124">
        <v>44368</v>
      </c>
      <c r="J9" s="196"/>
      <c r="K9">
        <v>8.4499999999999993</v>
      </c>
      <c r="L9">
        <v>26.9</v>
      </c>
      <c r="M9" s="124">
        <v>44368</v>
      </c>
      <c r="Q9" s="196"/>
      <c r="R9" t="s">
        <v>26</v>
      </c>
      <c r="S9" s="460"/>
      <c r="T9" s="194" t="s">
        <v>2041</v>
      </c>
      <c r="U9" s="194">
        <v>12.92</v>
      </c>
      <c r="V9" s="198" t="s">
        <v>2039</v>
      </c>
      <c r="W9" s="194">
        <v>21.6</v>
      </c>
      <c r="X9" s="194"/>
      <c r="Y9" s="200">
        <f>(12.8-U9)/12.8</f>
        <v>-9.3749999999999389E-3</v>
      </c>
      <c r="Z9" s="194"/>
      <c r="AA9" s="194"/>
      <c r="AB9" s="194"/>
    </row>
    <row r="10" spans="1:28" ht="15.5">
      <c r="A10" s="70">
        <v>2021</v>
      </c>
      <c r="B10" s="70">
        <v>1000</v>
      </c>
      <c r="C10" s="194">
        <v>8</v>
      </c>
      <c r="D10">
        <v>39.68</v>
      </c>
      <c r="E10">
        <v>26.9</v>
      </c>
      <c r="F10" s="124">
        <v>44368</v>
      </c>
      <c r="J10" s="196"/>
      <c r="K10">
        <v>8.41</v>
      </c>
      <c r="L10">
        <v>26.6</v>
      </c>
      <c r="M10" s="124">
        <v>44368</v>
      </c>
      <c r="Q10" s="196"/>
      <c r="R10" t="s">
        <v>26</v>
      </c>
      <c r="S10" s="183"/>
      <c r="X10" s="194"/>
      <c r="Y10" s="194"/>
      <c r="Z10" s="194"/>
      <c r="AA10" s="194"/>
      <c r="AB10" s="194"/>
    </row>
    <row r="11" spans="1:28" ht="15.5">
      <c r="A11" s="70">
        <v>2021</v>
      </c>
      <c r="B11" s="70">
        <v>1000</v>
      </c>
      <c r="C11" s="194">
        <v>9</v>
      </c>
      <c r="D11">
        <v>39.17</v>
      </c>
      <c r="E11">
        <v>27.1</v>
      </c>
      <c r="F11" s="124">
        <v>44368</v>
      </c>
      <c r="J11" s="196"/>
      <c r="K11">
        <v>8.2899999999999991</v>
      </c>
      <c r="L11">
        <v>27</v>
      </c>
      <c r="M11" s="124">
        <v>44368</v>
      </c>
      <c r="Q11" s="196"/>
      <c r="R11" t="s">
        <v>26</v>
      </c>
      <c r="S11" s="460" t="s">
        <v>2050</v>
      </c>
      <c r="T11" s="70" t="s">
        <v>2042</v>
      </c>
      <c r="U11" s="70" t="s">
        <v>2034</v>
      </c>
      <c r="V11" s="194"/>
      <c r="W11" s="70" t="s">
        <v>2035</v>
      </c>
      <c r="X11" s="194"/>
      <c r="Y11" s="201"/>
      <c r="Z11" s="194"/>
      <c r="AA11" s="194"/>
      <c r="AB11" s="194"/>
    </row>
    <row r="12" spans="1:28" ht="15.5">
      <c r="A12" s="70">
        <v>2021</v>
      </c>
      <c r="B12" s="70">
        <v>1000</v>
      </c>
      <c r="C12" s="194">
        <v>10</v>
      </c>
      <c r="D12">
        <v>39.39</v>
      </c>
      <c r="E12">
        <v>27.6</v>
      </c>
      <c r="F12" s="124">
        <v>44368</v>
      </c>
      <c r="J12" s="196"/>
      <c r="K12">
        <v>8.39</v>
      </c>
      <c r="L12">
        <v>27.4</v>
      </c>
      <c r="M12" s="124">
        <v>44368</v>
      </c>
      <c r="Q12" s="196"/>
      <c r="R12" t="s">
        <v>26</v>
      </c>
      <c r="S12" s="460"/>
      <c r="T12" s="70" t="s">
        <v>2038</v>
      </c>
      <c r="U12" s="194">
        <v>49.6</v>
      </c>
      <c r="V12" s="198" t="s">
        <v>2039</v>
      </c>
      <c r="W12" s="194">
        <v>21.7</v>
      </c>
      <c r="X12" s="194"/>
      <c r="Y12" s="200">
        <f>(50-U12)/50</f>
        <v>7.9999999999999724E-3</v>
      </c>
      <c r="Z12" s="194"/>
      <c r="AA12" s="194"/>
      <c r="AB12" s="194"/>
    </row>
    <row r="13" spans="1:28" ht="15.5">
      <c r="A13" s="70">
        <v>2021</v>
      </c>
      <c r="B13" s="70">
        <v>1000</v>
      </c>
      <c r="C13" s="70">
        <v>11</v>
      </c>
      <c r="D13" s="70">
        <v>39.54</v>
      </c>
      <c r="E13" s="70">
        <v>27.3</v>
      </c>
      <c r="F13" s="124">
        <v>44368</v>
      </c>
      <c r="J13" s="196"/>
      <c r="K13">
        <v>8.2899999999999991</v>
      </c>
      <c r="L13">
        <v>27</v>
      </c>
      <c r="M13" s="124">
        <v>44368</v>
      </c>
      <c r="Q13" s="196"/>
      <c r="R13" t="s">
        <v>26</v>
      </c>
      <c r="S13" s="460"/>
      <c r="T13" s="70" t="s">
        <v>2040</v>
      </c>
      <c r="U13" s="194">
        <v>52.4</v>
      </c>
      <c r="V13" s="198" t="s">
        <v>2039</v>
      </c>
      <c r="W13" s="194">
        <v>21.9</v>
      </c>
      <c r="X13" s="194"/>
      <c r="Y13" s="200">
        <f>(53-U13)/53</f>
        <v>1.1320754716981159E-2</v>
      </c>
      <c r="Z13" s="194"/>
      <c r="AA13" s="194"/>
      <c r="AB13" s="194"/>
    </row>
    <row r="14" spans="1:28" ht="15.5">
      <c r="A14" s="70">
        <v>2021</v>
      </c>
      <c r="B14" s="70">
        <v>1000</v>
      </c>
      <c r="C14" s="194">
        <v>12</v>
      </c>
      <c r="D14">
        <v>39.58</v>
      </c>
      <c r="E14">
        <v>26.6</v>
      </c>
      <c r="F14" s="124">
        <v>44368</v>
      </c>
      <c r="G14">
        <v>39.54</v>
      </c>
      <c r="H14">
        <v>26.4</v>
      </c>
      <c r="I14">
        <f>D14-G14</f>
        <v>3.9999999999999147E-2</v>
      </c>
      <c r="J14" s="196">
        <f>(I14/AVERAGE(G14,D14))*100</f>
        <v>0.10111223458038206</v>
      </c>
      <c r="K14">
        <v>8.27</v>
      </c>
      <c r="L14">
        <v>26</v>
      </c>
      <c r="M14" s="124">
        <v>44368</v>
      </c>
      <c r="N14">
        <v>8.27</v>
      </c>
      <c r="O14">
        <v>25.6</v>
      </c>
      <c r="P14">
        <f>K14-N14</f>
        <v>0</v>
      </c>
      <c r="Q14" s="196">
        <f>(P14/AVERAGE(N14,K14))*100</f>
        <v>0</v>
      </c>
      <c r="R14" t="s">
        <v>26</v>
      </c>
      <c r="S14" s="460"/>
      <c r="T14" s="194" t="s">
        <v>2041</v>
      </c>
      <c r="U14" s="202">
        <v>12.84</v>
      </c>
      <c r="V14" s="198" t="s">
        <v>2039</v>
      </c>
      <c r="W14" s="202">
        <v>21.6</v>
      </c>
      <c r="X14" s="202"/>
      <c r="Y14" s="200">
        <f>(12.8-U14)/12.8</f>
        <v>-3.1249999999999334E-3</v>
      </c>
      <c r="Z14" s="194"/>
      <c r="AA14" s="194"/>
      <c r="AB14" s="194"/>
    </row>
    <row r="15" spans="1:28" ht="15.5">
      <c r="A15" s="70">
        <v>2021</v>
      </c>
      <c r="B15" s="70">
        <v>1000</v>
      </c>
      <c r="C15" s="194">
        <v>13</v>
      </c>
      <c r="D15">
        <v>39.83</v>
      </c>
      <c r="E15">
        <v>26.9</v>
      </c>
      <c r="F15" s="124">
        <v>44368</v>
      </c>
      <c r="K15">
        <v>8.2799999999999994</v>
      </c>
      <c r="L15">
        <v>26.8</v>
      </c>
      <c r="M15" s="124">
        <v>44368</v>
      </c>
      <c r="R15" t="s">
        <v>26</v>
      </c>
      <c r="S15" s="460"/>
      <c r="T15" s="194"/>
      <c r="U15" s="194"/>
      <c r="V15" s="198"/>
      <c r="W15" s="194"/>
      <c r="X15" s="194"/>
      <c r="Y15" s="200"/>
      <c r="Z15" s="194"/>
      <c r="AA15" s="194"/>
      <c r="AB15" s="194"/>
    </row>
    <row r="16" spans="1:28" ht="15.5">
      <c r="A16" s="70">
        <v>2021</v>
      </c>
      <c r="B16" s="70">
        <v>1000</v>
      </c>
      <c r="C16" s="194">
        <v>14</v>
      </c>
      <c r="D16">
        <v>39.880000000000003</v>
      </c>
      <c r="E16">
        <v>27.5</v>
      </c>
      <c r="F16" s="124">
        <v>44368</v>
      </c>
      <c r="K16">
        <v>8.25</v>
      </c>
      <c r="L16">
        <v>27.4</v>
      </c>
      <c r="M16" s="124">
        <v>44368</v>
      </c>
      <c r="R16" t="s">
        <v>26</v>
      </c>
      <c r="S16" s="460"/>
      <c r="T16" s="194"/>
      <c r="U16" s="194"/>
      <c r="V16" s="194"/>
      <c r="W16" s="194"/>
      <c r="X16" s="194"/>
      <c r="Y16" s="194"/>
      <c r="Z16" s="194"/>
      <c r="AA16" s="194"/>
      <c r="AB16" s="194"/>
    </row>
    <row r="17" spans="1:29" ht="15.5">
      <c r="A17" s="70">
        <v>2021</v>
      </c>
      <c r="B17" s="70">
        <v>1000</v>
      </c>
      <c r="C17" s="194">
        <v>15</v>
      </c>
      <c r="D17">
        <v>39.67</v>
      </c>
      <c r="E17">
        <v>27.6</v>
      </c>
      <c r="F17" s="124">
        <v>44368</v>
      </c>
      <c r="K17">
        <v>8.17</v>
      </c>
      <c r="L17">
        <v>27.4</v>
      </c>
      <c r="M17" s="124">
        <v>44368</v>
      </c>
      <c r="R17" t="s">
        <v>26</v>
      </c>
      <c r="S17" s="460"/>
      <c r="T17" s="70" t="s">
        <v>220</v>
      </c>
      <c r="U17" s="194"/>
      <c r="V17" s="194"/>
      <c r="W17" s="194"/>
      <c r="X17" s="194"/>
      <c r="Y17" s="194"/>
      <c r="Z17" s="194"/>
      <c r="AA17" s="194"/>
      <c r="AB17" s="194"/>
    </row>
    <row r="18" spans="1:29" ht="15.5">
      <c r="A18" s="70">
        <v>2021</v>
      </c>
      <c r="B18" s="70">
        <v>1000</v>
      </c>
      <c r="C18" s="70">
        <v>16</v>
      </c>
      <c r="D18" s="70">
        <v>38.92</v>
      </c>
      <c r="E18">
        <v>27</v>
      </c>
      <c r="F18" s="124">
        <v>44368</v>
      </c>
      <c r="K18">
        <v>8.14</v>
      </c>
      <c r="L18">
        <v>26.5</v>
      </c>
      <c r="M18" s="124">
        <v>44368</v>
      </c>
      <c r="R18" t="s">
        <v>26</v>
      </c>
      <c r="T18" s="174" t="s">
        <v>2046</v>
      </c>
      <c r="U18" s="68" t="s">
        <v>2047</v>
      </c>
      <c r="V18" s="194"/>
      <c r="W18" s="194"/>
      <c r="X18" s="194"/>
      <c r="Y18" s="194"/>
      <c r="Z18" s="194"/>
      <c r="AA18" s="194"/>
      <c r="AB18" s="194"/>
    </row>
    <row r="19" spans="1:29" ht="15.5">
      <c r="A19" s="70">
        <v>2021</v>
      </c>
      <c r="B19" s="70">
        <v>1000</v>
      </c>
      <c r="C19" s="194">
        <v>17</v>
      </c>
      <c r="D19">
        <v>39.07</v>
      </c>
      <c r="E19">
        <v>26.1</v>
      </c>
      <c r="F19" s="124">
        <v>44368</v>
      </c>
      <c r="K19">
        <v>8.19</v>
      </c>
      <c r="L19">
        <v>25.5</v>
      </c>
      <c r="M19" s="124">
        <v>44368</v>
      </c>
      <c r="R19" t="s">
        <v>26</v>
      </c>
      <c r="T19" s="70" t="s">
        <v>2048</v>
      </c>
      <c r="U19" s="70" t="s">
        <v>2034</v>
      </c>
      <c r="V19" s="194"/>
      <c r="W19" s="70" t="s">
        <v>2035</v>
      </c>
      <c r="X19" s="194"/>
      <c r="Y19" s="194" t="s">
        <v>2036</v>
      </c>
      <c r="Z19" s="194" t="s">
        <v>2037</v>
      </c>
      <c r="AA19" s="194"/>
      <c r="AB19" s="194"/>
    </row>
    <row r="20" spans="1:29" ht="15.5">
      <c r="A20" s="70">
        <v>2021</v>
      </c>
      <c r="B20" s="70">
        <v>1000</v>
      </c>
      <c r="C20" s="194">
        <v>18</v>
      </c>
      <c r="D20">
        <v>39.54</v>
      </c>
      <c r="E20">
        <v>26</v>
      </c>
      <c r="F20" s="124">
        <v>44368</v>
      </c>
      <c r="K20">
        <v>8.23</v>
      </c>
      <c r="L20">
        <v>26.1</v>
      </c>
      <c r="M20" s="124">
        <v>44368</v>
      </c>
      <c r="R20" t="s">
        <v>26</v>
      </c>
      <c r="T20" s="70" t="s">
        <v>2043</v>
      </c>
      <c r="Y20" s="203"/>
    </row>
    <row r="21" spans="1:29" ht="15.5">
      <c r="A21" s="70">
        <v>2021</v>
      </c>
      <c r="B21" s="70">
        <v>1000</v>
      </c>
      <c r="C21" s="194">
        <v>19</v>
      </c>
      <c r="D21">
        <v>39.97</v>
      </c>
      <c r="E21">
        <v>26.2</v>
      </c>
      <c r="F21" s="124">
        <v>44368</v>
      </c>
      <c r="K21">
        <v>8.42</v>
      </c>
      <c r="L21">
        <v>26.2</v>
      </c>
      <c r="M21" s="124">
        <v>44368</v>
      </c>
      <c r="R21" t="s">
        <v>26</v>
      </c>
      <c r="T21" s="70">
        <v>7.01</v>
      </c>
      <c r="U21">
        <v>7.04</v>
      </c>
      <c r="W21">
        <v>23</v>
      </c>
      <c r="Y21" s="203">
        <f>(U21-T21)/T21</f>
        <v>4.2796005706134451E-3</v>
      </c>
      <c r="Z21" s="203">
        <f>_xlfn.STDEV.P(Y21:Y29)</f>
        <v>1.1802352963354894E-2</v>
      </c>
      <c r="AA21" s="203">
        <f>Z21/SQRT(2)</f>
        <v>8.3455238143453903E-3</v>
      </c>
      <c r="AB21" s="199">
        <f>AA21</f>
        <v>8.3455238143453903E-3</v>
      </c>
    </row>
    <row r="22" spans="1:29" ht="15.5">
      <c r="A22" s="70">
        <v>2021</v>
      </c>
      <c r="B22" s="70">
        <v>1000</v>
      </c>
      <c r="C22" s="194">
        <v>20</v>
      </c>
      <c r="D22">
        <v>39.57</v>
      </c>
      <c r="E22">
        <v>25.9</v>
      </c>
      <c r="F22" s="124">
        <v>44368</v>
      </c>
      <c r="K22">
        <v>8.49</v>
      </c>
      <c r="L22">
        <v>25.8</v>
      </c>
      <c r="M22" s="124">
        <v>44368</v>
      </c>
      <c r="R22" t="s">
        <v>26</v>
      </c>
      <c r="T22" s="70">
        <v>10.01</v>
      </c>
      <c r="U22">
        <v>9.98</v>
      </c>
      <c r="W22">
        <v>23.4</v>
      </c>
      <c r="Y22" s="203">
        <f t="shared" ref="Y22:Y24" si="0">(U22-T22)/T22</f>
        <v>-2.9970029970029332E-3</v>
      </c>
    </row>
    <row r="23" spans="1:29" ht="15.5">
      <c r="A23" s="70">
        <v>2021</v>
      </c>
      <c r="B23" s="204">
        <v>1000</v>
      </c>
      <c r="C23" s="204">
        <v>21</v>
      </c>
      <c r="D23" s="204">
        <v>39.31</v>
      </c>
      <c r="E23" s="204">
        <v>25.6</v>
      </c>
      <c r="F23" s="124">
        <v>44368</v>
      </c>
      <c r="G23" s="205"/>
      <c r="H23" s="205"/>
      <c r="I23" s="205"/>
      <c r="J23" s="205"/>
      <c r="K23" s="205">
        <v>8.49</v>
      </c>
      <c r="L23" s="205">
        <v>25.4</v>
      </c>
      <c r="M23" s="124">
        <v>44368</v>
      </c>
      <c r="N23" s="205"/>
      <c r="O23" s="205"/>
      <c r="P23" s="205"/>
      <c r="Q23" s="205"/>
      <c r="R23" s="205" t="s">
        <v>26</v>
      </c>
      <c r="T23" s="70">
        <v>12.45</v>
      </c>
      <c r="U23">
        <v>12.53</v>
      </c>
      <c r="W23">
        <v>23</v>
      </c>
      <c r="Y23" s="203">
        <f t="shared" si="0"/>
        <v>6.4257028112449863E-3</v>
      </c>
    </row>
    <row r="24" spans="1:29" ht="16" thickBot="1">
      <c r="A24" s="70">
        <v>2021</v>
      </c>
      <c r="B24" s="70">
        <v>2000</v>
      </c>
      <c r="C24" s="70">
        <v>1</v>
      </c>
      <c r="D24" s="70">
        <v>39.979999999999997</v>
      </c>
      <c r="E24" s="70">
        <v>21.9</v>
      </c>
      <c r="F24" s="124">
        <v>44368</v>
      </c>
      <c r="K24">
        <v>8.5399999999999991</v>
      </c>
      <c r="L24">
        <v>21.6</v>
      </c>
      <c r="M24" s="124">
        <v>44368</v>
      </c>
      <c r="R24" t="s">
        <v>26</v>
      </c>
      <c r="T24" s="206">
        <v>9.18</v>
      </c>
      <c r="U24" s="194">
        <v>8.94</v>
      </c>
      <c r="V24" s="198"/>
      <c r="W24" s="194">
        <v>23</v>
      </c>
      <c r="X24" s="194"/>
      <c r="Y24" s="203">
        <f t="shared" si="0"/>
        <v>-2.6143790849673228E-2</v>
      </c>
    </row>
    <row r="25" spans="1:29" ht="16" thickBot="1">
      <c r="A25" s="70">
        <v>2021</v>
      </c>
      <c r="B25" s="70">
        <v>2000</v>
      </c>
      <c r="C25" s="194">
        <v>2</v>
      </c>
      <c r="D25">
        <v>40.36</v>
      </c>
      <c r="E25">
        <v>21.6</v>
      </c>
      <c r="F25" s="124">
        <v>44368</v>
      </c>
      <c r="K25">
        <v>8.59</v>
      </c>
      <c r="L25">
        <v>21.5</v>
      </c>
      <c r="M25" s="124">
        <v>44368</v>
      </c>
      <c r="R25" t="s">
        <v>26</v>
      </c>
      <c r="T25" s="70" t="s">
        <v>2044</v>
      </c>
      <c r="U25" s="70" t="s">
        <v>2034</v>
      </c>
      <c r="V25" s="194"/>
      <c r="W25" s="70" t="s">
        <v>2035</v>
      </c>
      <c r="X25" s="194"/>
      <c r="Y25" s="203"/>
      <c r="Z25" s="203"/>
      <c r="AB25" s="194"/>
      <c r="AC25" s="207"/>
    </row>
    <row r="26" spans="1:29" ht="15.5">
      <c r="A26" s="70">
        <v>2021</v>
      </c>
      <c r="B26" s="70">
        <v>2000</v>
      </c>
      <c r="C26" s="194">
        <v>3</v>
      </c>
      <c r="D26">
        <v>40.35</v>
      </c>
      <c r="E26">
        <v>21.4</v>
      </c>
      <c r="F26" s="124">
        <v>44368</v>
      </c>
      <c r="G26">
        <v>40.479999999999997</v>
      </c>
      <c r="H26">
        <v>21.4</v>
      </c>
      <c r="I26">
        <f>D26-G26</f>
        <v>-0.12999999999999545</v>
      </c>
      <c r="J26" s="196">
        <f>(I26/AVERAGE(G26,D26))*100</f>
        <v>-0.32166274897932812</v>
      </c>
      <c r="K26">
        <v>8.6</v>
      </c>
      <c r="L26">
        <v>21.5</v>
      </c>
      <c r="M26" s="124">
        <v>44368</v>
      </c>
      <c r="N26">
        <v>8.61</v>
      </c>
      <c r="O26">
        <v>21.6</v>
      </c>
      <c r="P26">
        <f>K26-N26</f>
        <v>-9.9999999999997868E-3</v>
      </c>
      <c r="Q26" s="196">
        <f>(P26/AVERAGE(N26,K26))*100</f>
        <v>-0.11621150493898648</v>
      </c>
      <c r="R26" t="s">
        <v>26</v>
      </c>
      <c r="T26" s="70">
        <v>7.01</v>
      </c>
      <c r="U26" s="194">
        <v>7.08</v>
      </c>
      <c r="V26" s="198"/>
      <c r="W26" s="194">
        <v>21.7</v>
      </c>
      <c r="X26" s="194"/>
      <c r="Y26" s="203">
        <f>(U26-T26)/T26</f>
        <v>9.985734664764663E-3</v>
      </c>
      <c r="Z26" s="203"/>
      <c r="AA26" s="203"/>
      <c r="AB26" s="194"/>
    </row>
    <row r="27" spans="1:29" ht="15.5">
      <c r="A27" s="70">
        <v>2021</v>
      </c>
      <c r="B27" s="70">
        <v>2000</v>
      </c>
      <c r="C27" s="194">
        <v>4</v>
      </c>
      <c r="D27">
        <v>40.22</v>
      </c>
      <c r="E27">
        <v>21.4</v>
      </c>
      <c r="F27" s="124">
        <v>44368</v>
      </c>
      <c r="K27">
        <v>8.61</v>
      </c>
      <c r="L27">
        <v>21.5</v>
      </c>
      <c r="M27" s="124">
        <v>44368</v>
      </c>
      <c r="R27" t="s">
        <v>26</v>
      </c>
      <c r="T27" s="70">
        <v>10.01</v>
      </c>
      <c r="U27" s="194">
        <v>10.07</v>
      </c>
      <c r="V27" s="198"/>
      <c r="W27" s="194">
        <v>21.7</v>
      </c>
      <c r="X27" s="194"/>
      <c r="Y27" s="203">
        <f t="shared" ref="Y27:Y29" si="1">(U27-T27)/T27</f>
        <v>5.9940059940060434E-3</v>
      </c>
      <c r="Z27" s="203"/>
      <c r="AA27" s="203"/>
      <c r="AB27" s="194"/>
    </row>
    <row r="28" spans="1:29" ht="15.5">
      <c r="A28" s="70">
        <v>2021</v>
      </c>
      <c r="B28" s="70">
        <v>2000</v>
      </c>
      <c r="C28" s="194">
        <v>5</v>
      </c>
      <c r="D28">
        <v>40.5</v>
      </c>
      <c r="E28">
        <v>21.5</v>
      </c>
      <c r="F28" s="124">
        <v>44368</v>
      </c>
      <c r="K28">
        <v>8.6</v>
      </c>
      <c r="L28">
        <v>21.4</v>
      </c>
      <c r="M28" s="124">
        <v>44368</v>
      </c>
      <c r="R28" t="s">
        <v>26</v>
      </c>
      <c r="T28" s="70">
        <v>12.45</v>
      </c>
      <c r="U28" s="194">
        <v>12.58</v>
      </c>
      <c r="V28" s="198"/>
      <c r="W28" s="194">
        <v>21.8</v>
      </c>
      <c r="X28" s="202"/>
      <c r="Y28" s="203">
        <f t="shared" si="1"/>
        <v>1.0441767068273156E-2</v>
      </c>
      <c r="Z28" s="208"/>
      <c r="AA28" s="208"/>
      <c r="AB28" s="202"/>
    </row>
    <row r="29" spans="1:29" ht="16" thickBot="1">
      <c r="A29" s="70">
        <v>2021</v>
      </c>
      <c r="B29" s="70">
        <v>2000</v>
      </c>
      <c r="C29" s="70">
        <v>6</v>
      </c>
      <c r="D29" s="70">
        <v>40.549999999999997</v>
      </c>
      <c r="E29" s="70">
        <v>21.4</v>
      </c>
      <c r="F29" s="124">
        <v>44368</v>
      </c>
      <c r="K29">
        <v>8.65</v>
      </c>
      <c r="L29">
        <v>21.4</v>
      </c>
      <c r="M29" s="124">
        <v>44368</v>
      </c>
      <c r="R29" t="s">
        <v>26</v>
      </c>
      <c r="T29" s="206">
        <v>9.18</v>
      </c>
      <c r="U29" s="209">
        <v>9.08</v>
      </c>
      <c r="V29" s="210"/>
      <c r="W29" s="209">
        <v>21.7</v>
      </c>
      <c r="X29" s="209"/>
      <c r="Y29" s="203">
        <f t="shared" si="1"/>
        <v>-1.0893246187363797E-2</v>
      </c>
      <c r="Z29" s="211"/>
      <c r="AA29" s="211"/>
      <c r="AB29" s="209"/>
    </row>
    <row r="30" spans="1:29" ht="15.5">
      <c r="A30" s="70">
        <v>2021</v>
      </c>
      <c r="B30" s="70">
        <v>2000</v>
      </c>
      <c r="C30" s="194">
        <v>7</v>
      </c>
      <c r="D30">
        <v>40.64</v>
      </c>
      <c r="E30" s="70">
        <v>21.4</v>
      </c>
      <c r="F30" s="124">
        <v>44368</v>
      </c>
      <c r="K30">
        <v>8.64</v>
      </c>
      <c r="L30">
        <v>21.5</v>
      </c>
      <c r="M30" s="124">
        <v>44368</v>
      </c>
      <c r="R30" t="s">
        <v>26</v>
      </c>
    </row>
    <row r="31" spans="1:29" ht="15.5">
      <c r="A31" s="70">
        <v>2021</v>
      </c>
      <c r="B31" s="70">
        <v>2000</v>
      </c>
      <c r="C31" s="194">
        <v>8</v>
      </c>
      <c r="D31">
        <v>40.67</v>
      </c>
      <c r="E31" s="70">
        <v>21.4</v>
      </c>
      <c r="F31" s="124">
        <v>44368</v>
      </c>
      <c r="K31">
        <v>8.6300000000000008</v>
      </c>
      <c r="L31">
        <v>21.6</v>
      </c>
      <c r="M31" s="124">
        <v>44368</v>
      </c>
      <c r="R31" t="s">
        <v>26</v>
      </c>
      <c r="T31" s="70"/>
      <c r="U31" s="194"/>
      <c r="V31" s="195"/>
      <c r="W31" s="194"/>
      <c r="X31" s="194"/>
      <c r="Y31" s="70"/>
      <c r="Z31" s="70"/>
      <c r="AA31" s="70"/>
      <c r="AB31" s="70"/>
    </row>
    <row r="32" spans="1:29" ht="15.5">
      <c r="A32" s="70">
        <v>2021</v>
      </c>
      <c r="B32" s="70">
        <v>2000</v>
      </c>
      <c r="C32" s="194">
        <v>9</v>
      </c>
      <c r="D32">
        <v>40.68</v>
      </c>
      <c r="E32" s="70">
        <v>21.4</v>
      </c>
      <c r="F32" s="124">
        <v>44368</v>
      </c>
      <c r="K32">
        <v>8.6199999999999992</v>
      </c>
      <c r="L32">
        <v>21.5</v>
      </c>
      <c r="M32" s="124">
        <v>44368</v>
      </c>
      <c r="R32" t="s">
        <v>26</v>
      </c>
      <c r="T32" s="174"/>
      <c r="U32" s="194"/>
      <c r="V32" s="194"/>
      <c r="W32" s="194"/>
      <c r="X32" s="194"/>
      <c r="Y32" s="194"/>
      <c r="Z32" s="194"/>
      <c r="AA32" s="194"/>
      <c r="AB32" s="194"/>
    </row>
    <row r="33" spans="1:28" ht="15.5">
      <c r="A33" s="70">
        <v>2021</v>
      </c>
      <c r="B33" s="70">
        <v>2000</v>
      </c>
      <c r="C33" s="194">
        <v>10</v>
      </c>
      <c r="D33">
        <v>40.17</v>
      </c>
      <c r="E33" s="70">
        <v>21.4</v>
      </c>
      <c r="F33" s="124">
        <v>44368</v>
      </c>
      <c r="K33">
        <v>8.44</v>
      </c>
      <c r="L33">
        <v>21.5</v>
      </c>
      <c r="M33" s="124">
        <v>44368</v>
      </c>
      <c r="R33" t="s">
        <v>26</v>
      </c>
      <c r="T33" s="70"/>
      <c r="U33" s="70"/>
      <c r="V33" s="194"/>
      <c r="W33" s="70"/>
      <c r="X33" s="194"/>
      <c r="Y33" s="194"/>
      <c r="Z33" s="194"/>
      <c r="AA33" s="194"/>
      <c r="AB33" s="194"/>
    </row>
    <row r="34" spans="1:28" ht="15.5">
      <c r="A34" s="70">
        <v>2021</v>
      </c>
      <c r="B34" s="70">
        <v>2000</v>
      </c>
      <c r="C34" s="70">
        <v>11</v>
      </c>
      <c r="D34" s="70">
        <v>40.119999999999997</v>
      </c>
      <c r="E34" s="70">
        <v>21.5</v>
      </c>
      <c r="F34" s="124">
        <v>44368</v>
      </c>
      <c r="K34">
        <v>8.57</v>
      </c>
      <c r="L34">
        <v>21.6</v>
      </c>
      <c r="M34" s="124">
        <v>44368</v>
      </c>
      <c r="R34" t="s">
        <v>26</v>
      </c>
      <c r="T34" s="70"/>
      <c r="U34" s="197"/>
      <c r="V34" s="198"/>
      <c r="W34" s="194"/>
      <c r="X34" s="194"/>
      <c r="Y34" s="197"/>
      <c r="Z34" s="194"/>
      <c r="AA34" s="194"/>
      <c r="AB34" s="199"/>
    </row>
    <row r="35" spans="1:28" ht="15.5">
      <c r="A35" s="70">
        <v>2021</v>
      </c>
      <c r="B35" s="70">
        <v>2000</v>
      </c>
      <c r="C35" s="194">
        <v>12</v>
      </c>
      <c r="D35">
        <v>40.409999999999997</v>
      </c>
      <c r="E35" s="70">
        <v>21.5</v>
      </c>
      <c r="F35" s="124">
        <v>44368</v>
      </c>
      <c r="G35">
        <v>40.450000000000003</v>
      </c>
      <c r="H35">
        <v>21.4</v>
      </c>
      <c r="I35" s="100">
        <f>D35-G35</f>
        <v>-4.0000000000006253E-2</v>
      </c>
      <c r="J35" s="196">
        <f>(I35/AVERAGE(G35,D35))*100</f>
        <v>-9.8936433341593494E-2</v>
      </c>
      <c r="K35">
        <v>8.56</v>
      </c>
      <c r="L35">
        <v>21.5</v>
      </c>
      <c r="M35" s="124">
        <v>44368</v>
      </c>
      <c r="N35">
        <v>8.5399999999999991</v>
      </c>
      <c r="O35">
        <v>21.7</v>
      </c>
      <c r="P35">
        <f>K35-N35</f>
        <v>2.000000000000135E-2</v>
      </c>
      <c r="Q35" s="196">
        <f>(P35/AVERAGE(N35,K35))*100</f>
        <v>0.23391812865498654</v>
      </c>
      <c r="R35" t="s">
        <v>26</v>
      </c>
      <c r="T35" s="70"/>
      <c r="U35" s="194"/>
      <c r="V35" s="198"/>
      <c r="W35" s="70"/>
      <c r="X35" s="194"/>
      <c r="Y35" s="194"/>
      <c r="Z35" s="194"/>
      <c r="AA35" s="194"/>
      <c r="AB35" s="194"/>
    </row>
    <row r="36" spans="1:28" ht="15.5">
      <c r="A36" s="70">
        <v>2021</v>
      </c>
      <c r="B36" s="70">
        <v>2000</v>
      </c>
      <c r="C36" s="194">
        <v>13</v>
      </c>
      <c r="D36">
        <v>40.4</v>
      </c>
      <c r="E36" s="70">
        <v>21.5</v>
      </c>
      <c r="F36" s="124">
        <v>44368</v>
      </c>
      <c r="K36">
        <v>8.5500000000000007</v>
      </c>
      <c r="L36">
        <v>21.6</v>
      </c>
      <c r="M36" s="124">
        <v>44368</v>
      </c>
      <c r="R36" t="s">
        <v>26</v>
      </c>
      <c r="T36" s="70"/>
      <c r="U36" s="194"/>
      <c r="V36" s="198"/>
      <c r="W36" s="194"/>
      <c r="X36" s="194"/>
      <c r="Y36" s="200"/>
      <c r="Z36" s="194"/>
      <c r="AA36" s="194"/>
      <c r="AB36" s="194"/>
    </row>
    <row r="37" spans="1:28" ht="15.5">
      <c r="A37" s="70">
        <v>2021</v>
      </c>
      <c r="B37" s="70">
        <v>2000</v>
      </c>
      <c r="C37" s="194">
        <v>14</v>
      </c>
      <c r="D37">
        <v>40.29</v>
      </c>
      <c r="E37" s="70">
        <v>21.4</v>
      </c>
      <c r="F37" s="124">
        <v>44368</v>
      </c>
      <c r="K37">
        <v>8.56</v>
      </c>
      <c r="L37">
        <v>21.5</v>
      </c>
      <c r="M37" s="124">
        <v>44368</v>
      </c>
      <c r="R37" t="s">
        <v>26</v>
      </c>
      <c r="T37" s="194"/>
      <c r="U37" s="194"/>
      <c r="V37" s="198"/>
      <c r="W37" s="194"/>
      <c r="X37" s="194"/>
      <c r="Y37" s="200"/>
      <c r="Z37" s="194"/>
      <c r="AA37" s="194"/>
      <c r="AB37" s="194"/>
    </row>
    <row r="38" spans="1:28" ht="15.5">
      <c r="A38" s="70">
        <v>2021</v>
      </c>
      <c r="B38" s="70">
        <v>2000</v>
      </c>
      <c r="C38" s="194">
        <v>15</v>
      </c>
      <c r="D38">
        <v>39.74</v>
      </c>
      <c r="E38" s="70">
        <v>21.4</v>
      </c>
      <c r="F38" s="124">
        <v>44368</v>
      </c>
      <c r="K38">
        <v>8.48</v>
      </c>
      <c r="L38">
        <v>21.6</v>
      </c>
      <c r="M38" s="124">
        <v>44368</v>
      </c>
      <c r="R38" t="s">
        <v>26</v>
      </c>
      <c r="X38" s="194"/>
      <c r="Y38" s="194"/>
      <c r="Z38" s="194"/>
      <c r="AA38" s="194"/>
      <c r="AB38" s="194"/>
    </row>
    <row r="39" spans="1:28" ht="15.5">
      <c r="A39" s="70">
        <v>2021</v>
      </c>
      <c r="B39" s="70">
        <v>2000</v>
      </c>
      <c r="C39" s="70">
        <v>16</v>
      </c>
      <c r="D39" s="70">
        <v>39.159999999999997</v>
      </c>
      <c r="E39" s="70">
        <v>21.5</v>
      </c>
      <c r="F39" s="124">
        <v>44368</v>
      </c>
      <c r="K39">
        <v>8.4499999999999993</v>
      </c>
      <c r="L39">
        <v>21.6</v>
      </c>
      <c r="M39" s="124">
        <v>44368</v>
      </c>
      <c r="R39" t="s">
        <v>26</v>
      </c>
      <c r="T39" s="70"/>
      <c r="U39" s="70"/>
      <c r="V39" s="194"/>
      <c r="W39" s="70"/>
      <c r="X39" s="194"/>
      <c r="Y39" s="201"/>
      <c r="Z39" s="194"/>
      <c r="AA39" s="194"/>
      <c r="AB39" s="194"/>
    </row>
    <row r="40" spans="1:28" ht="15.5">
      <c r="A40" s="70">
        <v>2021</v>
      </c>
      <c r="B40" s="70">
        <v>2000</v>
      </c>
      <c r="C40" s="194">
        <v>17</v>
      </c>
      <c r="D40">
        <v>39.54</v>
      </c>
      <c r="E40" s="70">
        <v>21.6</v>
      </c>
      <c r="F40" s="124">
        <v>44368</v>
      </c>
      <c r="K40">
        <v>8.52</v>
      </c>
      <c r="L40">
        <v>21.6</v>
      </c>
      <c r="M40" s="124">
        <v>44368</v>
      </c>
      <c r="R40" t="s">
        <v>26</v>
      </c>
      <c r="T40" s="70"/>
      <c r="U40" s="2"/>
      <c r="V40" s="198"/>
      <c r="W40" s="2"/>
      <c r="X40" s="194"/>
      <c r="Y40" s="200"/>
      <c r="Z40" s="194"/>
      <c r="AA40" s="194"/>
      <c r="AB40" s="194"/>
    </row>
    <row r="41" spans="1:28" ht="15.5">
      <c r="A41" s="70">
        <v>2021</v>
      </c>
      <c r="B41" s="70">
        <v>2000</v>
      </c>
      <c r="C41" s="194">
        <v>18</v>
      </c>
      <c r="D41">
        <v>40.119999999999997</v>
      </c>
      <c r="E41" s="70">
        <v>21.5</v>
      </c>
      <c r="F41" s="124">
        <v>44368</v>
      </c>
      <c r="K41">
        <v>8.5500000000000007</v>
      </c>
      <c r="L41">
        <v>21.4</v>
      </c>
      <c r="M41" s="124">
        <v>44368</v>
      </c>
      <c r="R41" t="s">
        <v>26</v>
      </c>
      <c r="T41" s="70"/>
      <c r="U41" s="2"/>
      <c r="V41" s="198"/>
      <c r="W41" s="2"/>
      <c r="X41" s="194"/>
      <c r="Y41" s="200"/>
      <c r="Z41" s="194"/>
      <c r="AA41" s="194"/>
      <c r="AB41" s="194"/>
    </row>
    <row r="42" spans="1:28" ht="15.5">
      <c r="A42" s="70">
        <v>2021</v>
      </c>
      <c r="B42" s="70">
        <v>2000</v>
      </c>
      <c r="C42" s="194">
        <v>19</v>
      </c>
      <c r="D42">
        <v>40.25</v>
      </c>
      <c r="E42" s="70">
        <v>21.6</v>
      </c>
      <c r="F42" s="124">
        <v>44368</v>
      </c>
      <c r="K42">
        <v>8.57</v>
      </c>
      <c r="L42">
        <v>21.5</v>
      </c>
      <c r="M42" s="124">
        <v>44368</v>
      </c>
      <c r="R42" t="s">
        <v>26</v>
      </c>
      <c r="T42" s="194"/>
      <c r="U42" s="212"/>
      <c r="V42" s="198"/>
      <c r="W42" s="212"/>
      <c r="X42" s="202"/>
      <c r="Y42" s="200"/>
      <c r="Z42" s="194"/>
      <c r="AA42" s="194"/>
      <c r="AB42" s="194"/>
    </row>
    <row r="43" spans="1:28" ht="15.5">
      <c r="A43" s="70">
        <v>2021</v>
      </c>
      <c r="B43" s="70">
        <v>2000</v>
      </c>
      <c r="C43" s="194">
        <v>20</v>
      </c>
      <c r="D43">
        <v>40.53</v>
      </c>
      <c r="E43" s="70">
        <v>21.4</v>
      </c>
      <c r="F43" s="124">
        <v>44368</v>
      </c>
      <c r="K43">
        <v>8.58</v>
      </c>
      <c r="L43" s="205">
        <v>21.6</v>
      </c>
      <c r="M43" s="124">
        <v>44368</v>
      </c>
      <c r="R43" t="s">
        <v>26</v>
      </c>
      <c r="T43" s="194"/>
      <c r="U43" s="194"/>
      <c r="V43" s="198"/>
      <c r="W43" s="194"/>
      <c r="X43" s="194"/>
      <c r="Y43" s="200"/>
      <c r="Z43" s="194"/>
      <c r="AA43" s="194"/>
      <c r="AB43" s="194"/>
    </row>
    <row r="44" spans="1:28" s="205" customFormat="1" ht="15.5">
      <c r="A44" s="70">
        <v>2021</v>
      </c>
      <c r="B44" s="204">
        <v>2000</v>
      </c>
      <c r="C44" s="204">
        <v>21</v>
      </c>
      <c r="D44" s="205">
        <v>40.94</v>
      </c>
      <c r="E44" s="205">
        <v>21.5</v>
      </c>
      <c r="F44" s="124">
        <v>44368</v>
      </c>
      <c r="K44" s="205">
        <v>8.6199999999999992</v>
      </c>
      <c r="L44" s="205">
        <v>21.5</v>
      </c>
      <c r="M44" s="124">
        <v>44368</v>
      </c>
      <c r="R44" t="s">
        <v>26</v>
      </c>
      <c r="T44" s="194"/>
      <c r="U44" s="194"/>
      <c r="V44" s="194"/>
      <c r="W44" s="194"/>
      <c r="X44" s="194"/>
      <c r="Y44" s="194"/>
      <c r="Z44" s="194"/>
      <c r="AA44" s="194"/>
      <c r="AB44" s="194"/>
    </row>
    <row r="45" spans="1:28" ht="15.5">
      <c r="A45" s="70">
        <v>2021</v>
      </c>
      <c r="B45" s="70">
        <v>3800</v>
      </c>
      <c r="C45" s="70">
        <v>1</v>
      </c>
      <c r="D45" s="70">
        <v>38.340000000000003</v>
      </c>
      <c r="E45" s="70">
        <v>21.4</v>
      </c>
      <c r="F45" s="124">
        <v>44368</v>
      </c>
      <c r="K45">
        <v>8.48</v>
      </c>
      <c r="L45">
        <v>21.6</v>
      </c>
      <c r="M45" s="124">
        <v>44368</v>
      </c>
      <c r="R45" t="s">
        <v>26</v>
      </c>
      <c r="T45" s="70"/>
      <c r="U45" s="194"/>
      <c r="V45" s="194"/>
      <c r="W45" s="194"/>
      <c r="X45" s="194"/>
      <c r="Y45" s="194"/>
      <c r="Z45" s="194"/>
      <c r="AA45" s="194"/>
      <c r="AB45" s="194"/>
    </row>
    <row r="46" spans="1:28" ht="15.5">
      <c r="A46" s="70">
        <v>2021</v>
      </c>
      <c r="B46" s="70">
        <v>3800</v>
      </c>
      <c r="C46" s="194">
        <v>2</v>
      </c>
      <c r="D46">
        <v>38.64</v>
      </c>
      <c r="E46" s="70">
        <v>21.4</v>
      </c>
      <c r="F46" s="124">
        <v>44368</v>
      </c>
      <c r="K46">
        <v>8.6300000000000008</v>
      </c>
      <c r="L46">
        <v>21.5</v>
      </c>
      <c r="M46" s="124">
        <v>44368</v>
      </c>
      <c r="R46" t="s">
        <v>26</v>
      </c>
      <c r="T46" s="180"/>
      <c r="U46" s="194"/>
      <c r="V46" s="194"/>
      <c r="W46" s="194"/>
      <c r="X46" s="194"/>
      <c r="Y46" s="194"/>
      <c r="Z46" s="194"/>
      <c r="AA46" s="194"/>
      <c r="AB46" s="194"/>
    </row>
    <row r="47" spans="1:28" ht="15.5">
      <c r="A47" s="70">
        <v>2021</v>
      </c>
      <c r="B47" s="70">
        <v>3800</v>
      </c>
      <c r="C47" s="194">
        <v>3</v>
      </c>
      <c r="D47">
        <v>37.49</v>
      </c>
      <c r="E47" s="70">
        <v>21.5</v>
      </c>
      <c r="F47" s="124">
        <v>44368</v>
      </c>
      <c r="G47">
        <v>37.54</v>
      </c>
      <c r="H47">
        <v>21.6</v>
      </c>
      <c r="I47" s="100">
        <f>D47-G47</f>
        <v>-4.9999999999997158E-2</v>
      </c>
      <c r="J47" s="196">
        <f>(I47/AVERAGE(G47,D47))*100</f>
        <v>-0.13328002132479586</v>
      </c>
      <c r="K47">
        <v>8.57</v>
      </c>
      <c r="L47">
        <v>21.5</v>
      </c>
      <c r="M47" s="124">
        <v>44368</v>
      </c>
      <c r="N47">
        <v>8.57</v>
      </c>
      <c r="O47">
        <v>21.6</v>
      </c>
      <c r="P47">
        <f>K47-N47</f>
        <v>0</v>
      </c>
      <c r="Q47" s="196">
        <f>(P47/AVERAGE(N47,K47))*100</f>
        <v>0</v>
      </c>
      <c r="R47" t="s">
        <v>26</v>
      </c>
      <c r="T47" s="70"/>
      <c r="U47" s="70"/>
      <c r="V47" s="194"/>
      <c r="W47" s="70"/>
      <c r="X47" s="194"/>
      <c r="Y47" s="194"/>
      <c r="Z47" s="194"/>
      <c r="AA47" s="194"/>
      <c r="AB47" s="194"/>
    </row>
    <row r="48" spans="1:28" ht="15.5">
      <c r="A48" s="70">
        <v>2021</v>
      </c>
      <c r="B48" s="70">
        <v>3800</v>
      </c>
      <c r="C48" s="194">
        <v>4</v>
      </c>
      <c r="D48">
        <v>38.26</v>
      </c>
      <c r="E48" s="70">
        <v>21.5</v>
      </c>
      <c r="F48" s="124">
        <v>44368</v>
      </c>
      <c r="K48">
        <v>8.58</v>
      </c>
      <c r="L48">
        <v>21.6</v>
      </c>
      <c r="M48" s="124">
        <v>44368</v>
      </c>
      <c r="R48" t="s">
        <v>26</v>
      </c>
      <c r="T48" s="70"/>
      <c r="Y48" s="203"/>
    </row>
    <row r="49" spans="1:28" ht="15.5">
      <c r="A49" s="70">
        <v>2021</v>
      </c>
      <c r="B49" s="70">
        <v>3800</v>
      </c>
      <c r="C49" s="194">
        <v>5</v>
      </c>
      <c r="D49">
        <v>39.78</v>
      </c>
      <c r="E49" s="70">
        <v>21.5</v>
      </c>
      <c r="F49" s="124">
        <v>44368</v>
      </c>
      <c r="K49">
        <v>8.58</v>
      </c>
      <c r="L49">
        <v>21.5</v>
      </c>
      <c r="M49" s="124">
        <v>44368</v>
      </c>
      <c r="R49" t="s">
        <v>26</v>
      </c>
      <c r="T49" s="70"/>
      <c r="Y49" s="203"/>
      <c r="Z49" s="203"/>
      <c r="AA49" s="203"/>
      <c r="AB49" s="199"/>
    </row>
    <row r="50" spans="1:28" ht="15.5">
      <c r="A50" s="70">
        <v>2021</v>
      </c>
      <c r="B50" s="70">
        <v>3800</v>
      </c>
      <c r="C50" s="70">
        <v>6</v>
      </c>
      <c r="D50" s="70">
        <v>40.119999999999997</v>
      </c>
      <c r="E50" s="70">
        <v>21.4</v>
      </c>
      <c r="F50" s="124">
        <v>44368</v>
      </c>
      <c r="K50">
        <v>8.58</v>
      </c>
      <c r="L50">
        <v>21.4</v>
      </c>
      <c r="M50" s="124">
        <v>44368</v>
      </c>
      <c r="R50" t="s">
        <v>26</v>
      </c>
      <c r="T50" s="70"/>
      <c r="Y50" s="203"/>
    </row>
    <row r="51" spans="1:28" ht="15.5">
      <c r="A51" s="70">
        <v>2021</v>
      </c>
      <c r="B51" s="70">
        <v>3800</v>
      </c>
      <c r="C51" s="194">
        <v>7</v>
      </c>
      <c r="D51">
        <v>39.94</v>
      </c>
      <c r="E51" s="70">
        <v>21.4</v>
      </c>
      <c r="F51" s="124">
        <v>44368</v>
      </c>
      <c r="K51">
        <v>8.6</v>
      </c>
      <c r="L51">
        <v>21.4</v>
      </c>
      <c r="M51" s="124">
        <v>44368</v>
      </c>
      <c r="R51" t="s">
        <v>26</v>
      </c>
      <c r="T51" s="70"/>
      <c r="Y51" s="203"/>
    </row>
    <row r="52" spans="1:28" ht="16" thickBot="1">
      <c r="A52" s="70">
        <v>2021</v>
      </c>
      <c r="B52" s="70">
        <v>3800</v>
      </c>
      <c r="C52" s="194">
        <v>8</v>
      </c>
      <c r="D52">
        <v>39.96</v>
      </c>
      <c r="E52" s="70">
        <v>21.5</v>
      </c>
      <c r="F52" s="124">
        <v>44368</v>
      </c>
      <c r="K52">
        <v>8.64</v>
      </c>
      <c r="L52">
        <v>21.5</v>
      </c>
      <c r="M52" s="124">
        <v>44368</v>
      </c>
      <c r="R52" t="s">
        <v>26</v>
      </c>
      <c r="T52" s="206"/>
      <c r="U52" s="194"/>
      <c r="V52" s="198"/>
      <c r="W52" s="194"/>
      <c r="X52" s="194"/>
      <c r="Y52" s="203"/>
    </row>
    <row r="53" spans="1:28" ht="15.5">
      <c r="A53" s="70">
        <v>2021</v>
      </c>
      <c r="B53" s="70">
        <v>3800</v>
      </c>
      <c r="C53" s="194">
        <v>9</v>
      </c>
      <c r="D53">
        <v>37.89</v>
      </c>
      <c r="E53" s="70">
        <v>21.5</v>
      </c>
      <c r="F53" s="124">
        <v>44368</v>
      </c>
      <c r="K53">
        <v>8.6199999999999992</v>
      </c>
      <c r="L53">
        <v>21.5</v>
      </c>
      <c r="M53" s="124">
        <v>44368</v>
      </c>
      <c r="R53" t="s">
        <v>26</v>
      </c>
      <c r="T53" s="70"/>
      <c r="U53" s="70"/>
      <c r="V53" s="194"/>
      <c r="W53" s="70"/>
      <c r="X53" s="194"/>
      <c r="Y53" s="203"/>
      <c r="Z53" s="203"/>
      <c r="AA53" s="203"/>
      <c r="AB53" s="194"/>
    </row>
    <row r="54" spans="1:28" ht="15.5">
      <c r="A54" s="70">
        <v>2021</v>
      </c>
      <c r="B54" s="70">
        <v>3800</v>
      </c>
      <c r="C54" s="194">
        <v>10</v>
      </c>
      <c r="D54">
        <v>39.51</v>
      </c>
      <c r="E54" s="70">
        <v>21.4</v>
      </c>
      <c r="F54" s="124">
        <v>44368</v>
      </c>
      <c r="K54">
        <v>8.6300000000000008</v>
      </c>
      <c r="L54">
        <v>21.4</v>
      </c>
      <c r="M54" s="124">
        <v>44368</v>
      </c>
      <c r="R54" t="s">
        <v>26</v>
      </c>
      <c r="T54" s="70"/>
      <c r="U54" s="2"/>
      <c r="V54" s="198"/>
      <c r="W54" s="2"/>
      <c r="X54" s="194"/>
      <c r="Y54" s="203"/>
      <c r="Z54" s="203"/>
      <c r="AA54" s="203"/>
      <c r="AB54" s="194"/>
    </row>
    <row r="55" spans="1:28" ht="15.5">
      <c r="A55" s="70">
        <v>2021</v>
      </c>
      <c r="B55" s="70">
        <v>3800</v>
      </c>
      <c r="C55" s="70">
        <v>11</v>
      </c>
      <c r="D55" s="70">
        <v>39.549999999999997</v>
      </c>
      <c r="E55" s="70">
        <v>21.4</v>
      </c>
      <c r="F55" s="124">
        <v>44368</v>
      </c>
      <c r="K55">
        <v>8.6</v>
      </c>
      <c r="L55">
        <v>21.4</v>
      </c>
      <c r="M55" s="124">
        <v>44368</v>
      </c>
      <c r="R55" t="s">
        <v>26</v>
      </c>
      <c r="T55" s="70"/>
      <c r="U55" s="2"/>
      <c r="V55" s="198"/>
      <c r="W55" s="2"/>
      <c r="X55" s="194"/>
      <c r="Y55" s="203"/>
      <c r="Z55" s="203"/>
      <c r="AA55" s="203"/>
      <c r="AB55" s="194"/>
    </row>
    <row r="56" spans="1:28" ht="15.5">
      <c r="A56" s="70">
        <v>2021</v>
      </c>
      <c r="B56" s="70">
        <v>3800</v>
      </c>
      <c r="C56" s="194">
        <v>12</v>
      </c>
      <c r="D56">
        <v>38.17</v>
      </c>
      <c r="E56" s="70">
        <v>21.4</v>
      </c>
      <c r="F56" s="124">
        <v>44368</v>
      </c>
      <c r="G56">
        <v>38.21</v>
      </c>
      <c r="H56">
        <v>21.4</v>
      </c>
      <c r="I56" s="100">
        <f>D56-G56</f>
        <v>-3.9999999999999147E-2</v>
      </c>
      <c r="J56" s="196">
        <f>(I56/AVERAGE(G56,D56))*100</f>
        <v>-0.10473946059177573</v>
      </c>
      <c r="K56">
        <v>8.5500000000000007</v>
      </c>
      <c r="L56">
        <v>21.5</v>
      </c>
      <c r="M56" s="124">
        <v>44368</v>
      </c>
      <c r="N56">
        <v>8.5500000000000007</v>
      </c>
      <c r="O56">
        <v>21.5</v>
      </c>
      <c r="P56">
        <f>K56-N56</f>
        <v>0</v>
      </c>
      <c r="Q56" s="196">
        <f>(P56/AVERAGE(N56,K56))*100</f>
        <v>0</v>
      </c>
      <c r="R56" t="s">
        <v>26</v>
      </c>
      <c r="T56" s="70"/>
      <c r="U56" s="2"/>
      <c r="V56" s="198"/>
      <c r="W56" s="2"/>
      <c r="X56" s="202"/>
      <c r="Y56" s="203"/>
      <c r="Z56" s="208"/>
      <c r="AA56" s="208"/>
      <c r="AB56" s="202"/>
    </row>
    <row r="57" spans="1:28" ht="16" thickBot="1">
      <c r="A57" s="70">
        <v>2021</v>
      </c>
      <c r="B57" s="70">
        <v>3800</v>
      </c>
      <c r="C57" s="194">
        <v>13</v>
      </c>
      <c r="D57">
        <v>39.89</v>
      </c>
      <c r="E57" s="70">
        <v>21.4</v>
      </c>
      <c r="F57" s="124">
        <v>44368</v>
      </c>
      <c r="K57">
        <v>8.57</v>
      </c>
      <c r="L57">
        <v>21.6</v>
      </c>
      <c r="M57" s="124">
        <v>44368</v>
      </c>
      <c r="R57" t="s">
        <v>26</v>
      </c>
      <c r="T57" s="206"/>
      <c r="U57" s="213"/>
      <c r="V57" s="210"/>
      <c r="W57" s="213"/>
      <c r="X57" s="209"/>
      <c r="Y57" s="203"/>
      <c r="Z57" s="211"/>
      <c r="AA57" s="211"/>
      <c r="AB57" s="209"/>
    </row>
    <row r="58" spans="1:28" ht="15.5">
      <c r="A58" s="70">
        <v>2021</v>
      </c>
      <c r="B58" s="70">
        <v>3800</v>
      </c>
      <c r="C58" s="194">
        <v>14</v>
      </c>
      <c r="D58">
        <v>39.85</v>
      </c>
      <c r="E58" s="70">
        <v>21.4</v>
      </c>
      <c r="F58" s="124">
        <v>44368</v>
      </c>
      <c r="K58">
        <v>8.59</v>
      </c>
      <c r="L58">
        <v>21.4</v>
      </c>
      <c r="M58" s="124">
        <v>44368</v>
      </c>
      <c r="R58" t="s">
        <v>26</v>
      </c>
    </row>
    <row r="59" spans="1:28" ht="15.5">
      <c r="A59" s="70">
        <v>2021</v>
      </c>
      <c r="B59" s="70">
        <v>3800</v>
      </c>
      <c r="C59" s="194">
        <v>15</v>
      </c>
      <c r="D59">
        <v>37.5</v>
      </c>
      <c r="E59" s="70">
        <v>21.4</v>
      </c>
      <c r="F59" s="124">
        <v>44368</v>
      </c>
      <c r="K59">
        <v>8.56</v>
      </c>
      <c r="L59">
        <v>21.5</v>
      </c>
      <c r="M59" s="124">
        <v>44368</v>
      </c>
      <c r="R59" t="s">
        <v>26</v>
      </c>
    </row>
    <row r="60" spans="1:28">
      <c r="A60" s="70">
        <v>2021</v>
      </c>
      <c r="B60" s="70">
        <v>3800</v>
      </c>
      <c r="C60" s="70">
        <v>16</v>
      </c>
      <c r="D60" s="70">
        <v>39.39</v>
      </c>
      <c r="E60" s="70">
        <v>21.4</v>
      </c>
      <c r="F60" s="124">
        <v>44368</v>
      </c>
      <c r="K60">
        <v>8.51</v>
      </c>
      <c r="L60">
        <v>21.5</v>
      </c>
      <c r="M60" s="124">
        <v>44368</v>
      </c>
      <c r="R60" t="s">
        <v>26</v>
      </c>
    </row>
    <row r="61" spans="1:28" ht="15.5">
      <c r="A61" s="70">
        <v>2021</v>
      </c>
      <c r="B61" s="70">
        <v>3800</v>
      </c>
      <c r="C61" s="194">
        <v>17</v>
      </c>
      <c r="D61">
        <v>37.54</v>
      </c>
      <c r="E61" s="70">
        <v>21.5</v>
      </c>
      <c r="F61" s="124">
        <v>44368</v>
      </c>
      <c r="K61">
        <v>8.44</v>
      </c>
      <c r="L61">
        <v>21.6</v>
      </c>
      <c r="M61" s="124">
        <v>44368</v>
      </c>
      <c r="R61" t="s">
        <v>26</v>
      </c>
    </row>
    <row r="62" spans="1:28" ht="15.5">
      <c r="A62" s="70">
        <v>2021</v>
      </c>
      <c r="B62" s="70">
        <v>3800</v>
      </c>
      <c r="C62" s="194">
        <v>18</v>
      </c>
      <c r="D62">
        <v>38.770000000000003</v>
      </c>
      <c r="E62" s="70">
        <v>21.5</v>
      </c>
      <c r="F62" s="124">
        <v>44368</v>
      </c>
      <c r="K62">
        <v>8.49</v>
      </c>
      <c r="L62">
        <v>21.5</v>
      </c>
      <c r="M62" s="124">
        <v>44368</v>
      </c>
      <c r="R62" t="s">
        <v>26</v>
      </c>
    </row>
    <row r="63" spans="1:28" ht="15.5">
      <c r="A63" s="70">
        <v>2021</v>
      </c>
      <c r="B63" s="70">
        <v>3800</v>
      </c>
      <c r="C63" s="194">
        <v>19</v>
      </c>
      <c r="D63">
        <v>37.58</v>
      </c>
      <c r="E63" s="70">
        <v>21.5</v>
      </c>
      <c r="F63" s="124">
        <v>44368</v>
      </c>
      <c r="K63">
        <v>8.58</v>
      </c>
      <c r="L63">
        <v>21.5</v>
      </c>
      <c r="M63" s="124">
        <v>44368</v>
      </c>
      <c r="R63" t="s">
        <v>26</v>
      </c>
    </row>
    <row r="64" spans="1:28" ht="15.5">
      <c r="A64" s="70">
        <v>2021</v>
      </c>
      <c r="B64" s="70">
        <v>3800</v>
      </c>
      <c r="C64" s="194">
        <v>20</v>
      </c>
      <c r="D64">
        <v>37.700000000000003</v>
      </c>
      <c r="E64" s="70">
        <v>21.5</v>
      </c>
      <c r="F64" s="124">
        <v>44368</v>
      </c>
      <c r="K64">
        <v>8.6</v>
      </c>
      <c r="L64">
        <v>21.5</v>
      </c>
      <c r="M64" s="124">
        <v>44368</v>
      </c>
      <c r="R64" t="s">
        <v>26</v>
      </c>
    </row>
    <row r="65" spans="1:18">
      <c r="A65" s="70">
        <v>2021</v>
      </c>
      <c r="B65" s="70">
        <v>3800</v>
      </c>
      <c r="C65" s="204">
        <v>21</v>
      </c>
      <c r="D65" s="70">
        <v>36.96</v>
      </c>
      <c r="E65" s="70">
        <v>21.5</v>
      </c>
      <c r="F65" s="124">
        <v>44368</v>
      </c>
      <c r="K65">
        <v>8.57</v>
      </c>
      <c r="L65">
        <v>21.5</v>
      </c>
      <c r="M65" s="124">
        <v>44368</v>
      </c>
      <c r="R65" t="s">
        <v>26</v>
      </c>
    </row>
  </sheetData>
  <mergeCells count="2">
    <mergeCell ref="S3:S9"/>
    <mergeCell ref="S11:S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DBF2-7FA5-4FC6-9CA9-7FFFD0C67EC4}">
  <dimension ref="A1:G74"/>
  <sheetViews>
    <sheetView workbookViewId="0">
      <selection activeCell="M16" sqref="M16"/>
    </sheetView>
  </sheetViews>
  <sheetFormatPr defaultRowHeight="14.5"/>
  <cols>
    <col min="1" max="1" width="49.26953125" bestFit="1" customWidth="1"/>
  </cols>
  <sheetData>
    <row r="1" spans="1:7">
      <c r="A1" s="48" t="s">
        <v>2238</v>
      </c>
    </row>
    <row r="2" spans="1:7">
      <c r="A2" s="48" t="s">
        <v>2239</v>
      </c>
    </row>
    <row r="3" spans="1:7">
      <c r="A3" s="59" t="s">
        <v>2240</v>
      </c>
    </row>
    <row r="4" spans="1:7">
      <c r="A4" s="59" t="s">
        <v>2241</v>
      </c>
    </row>
    <row r="5" spans="1:7">
      <c r="A5" s="290" t="s">
        <v>2242</v>
      </c>
      <c r="B5" s="290" t="s">
        <v>2203</v>
      </c>
      <c r="C5" s="290" t="s">
        <v>2021</v>
      </c>
      <c r="D5" s="290" t="s">
        <v>183</v>
      </c>
      <c r="E5" s="290" t="s">
        <v>184</v>
      </c>
      <c r="F5" s="290" t="s">
        <v>185</v>
      </c>
      <c r="G5" s="290" t="s">
        <v>2243</v>
      </c>
    </row>
    <row r="6" spans="1:7">
      <c r="A6" s="291">
        <v>44799</v>
      </c>
      <c r="B6" s="290" t="s">
        <v>2232</v>
      </c>
      <c r="C6" s="290" t="s">
        <v>2244</v>
      </c>
      <c r="D6" s="290">
        <v>2021</v>
      </c>
      <c r="E6" s="290" t="s">
        <v>43</v>
      </c>
      <c r="F6" s="290">
        <v>1</v>
      </c>
      <c r="G6" s="292">
        <v>2756.1</v>
      </c>
    </row>
    <row r="7" spans="1:7">
      <c r="A7" s="291">
        <v>44799</v>
      </c>
      <c r="B7" s="290" t="s">
        <v>2232</v>
      </c>
      <c r="C7" s="290" t="s">
        <v>2244</v>
      </c>
      <c r="D7" s="290">
        <v>2021</v>
      </c>
      <c r="E7" s="290" t="s">
        <v>43</v>
      </c>
      <c r="F7" s="290">
        <v>2</v>
      </c>
      <c r="G7" s="292">
        <v>2134.5</v>
      </c>
    </row>
    <row r="8" spans="1:7">
      <c r="A8" s="291">
        <v>44799</v>
      </c>
      <c r="B8" s="290" t="s">
        <v>2232</v>
      </c>
      <c r="C8" s="290" t="s">
        <v>2244</v>
      </c>
      <c r="D8" s="290">
        <v>2021</v>
      </c>
      <c r="E8" s="290" t="s">
        <v>43</v>
      </c>
      <c r="F8" s="290" t="s">
        <v>2245</v>
      </c>
      <c r="G8" s="292">
        <v>2314.1</v>
      </c>
    </row>
    <row r="9" spans="1:7">
      <c r="A9" s="291">
        <v>44799</v>
      </c>
      <c r="B9" s="290" t="s">
        <v>2232</v>
      </c>
      <c r="C9" s="290" t="s">
        <v>2244</v>
      </c>
      <c r="D9" s="290">
        <v>2021</v>
      </c>
      <c r="E9" s="290" t="s">
        <v>43</v>
      </c>
      <c r="F9" s="290" t="s">
        <v>2246</v>
      </c>
      <c r="G9" s="292">
        <v>3123.2</v>
      </c>
    </row>
    <row r="10" spans="1:7">
      <c r="A10" s="291">
        <v>44799</v>
      </c>
      <c r="B10" s="290" t="s">
        <v>2232</v>
      </c>
      <c r="C10" s="290" t="s">
        <v>2244</v>
      </c>
      <c r="D10" s="290">
        <v>2021</v>
      </c>
      <c r="E10" s="290" t="s">
        <v>43</v>
      </c>
      <c r="F10" s="290">
        <v>4</v>
      </c>
      <c r="G10" s="292">
        <v>3195.1</v>
      </c>
    </row>
    <row r="11" spans="1:7">
      <c r="A11" s="291">
        <v>44799</v>
      </c>
      <c r="B11" s="290" t="s">
        <v>2232</v>
      </c>
      <c r="C11" s="290" t="s">
        <v>2244</v>
      </c>
      <c r="D11" s="290">
        <v>2021</v>
      </c>
      <c r="E11" s="290" t="s">
        <v>43</v>
      </c>
      <c r="F11" s="290">
        <v>5</v>
      </c>
      <c r="G11" s="292">
        <v>2018.3</v>
      </c>
    </row>
    <row r="12" spans="1:7">
      <c r="A12" s="291">
        <v>44799</v>
      </c>
      <c r="B12" s="290" t="s">
        <v>2232</v>
      </c>
      <c r="C12" s="290" t="s">
        <v>2244</v>
      </c>
      <c r="D12" s="290">
        <v>2021</v>
      </c>
      <c r="E12" s="290" t="s">
        <v>43</v>
      </c>
      <c r="F12" s="290">
        <v>6</v>
      </c>
      <c r="G12" s="292">
        <v>3098</v>
      </c>
    </row>
    <row r="13" spans="1:7">
      <c r="A13" s="291">
        <v>44799</v>
      </c>
      <c r="B13" s="290" t="s">
        <v>2232</v>
      </c>
      <c r="C13" s="290" t="s">
        <v>2244</v>
      </c>
      <c r="D13" s="290">
        <v>2021</v>
      </c>
      <c r="E13" s="290" t="s">
        <v>43</v>
      </c>
      <c r="F13" s="290">
        <v>7</v>
      </c>
      <c r="G13" s="292">
        <v>3055.8</v>
      </c>
    </row>
    <row r="14" spans="1:7">
      <c r="A14" s="291">
        <v>44799</v>
      </c>
      <c r="B14" s="290" t="s">
        <v>2232</v>
      </c>
      <c r="C14" s="290" t="s">
        <v>2244</v>
      </c>
      <c r="D14" s="290">
        <v>2021</v>
      </c>
      <c r="E14" s="290" t="s">
        <v>43</v>
      </c>
      <c r="F14" s="290">
        <v>8</v>
      </c>
      <c r="G14" s="292">
        <v>2833.1</v>
      </c>
    </row>
    <row r="15" spans="1:7">
      <c r="A15" s="291">
        <v>44799</v>
      </c>
      <c r="B15" s="290" t="s">
        <v>2232</v>
      </c>
      <c r="C15" s="290" t="s">
        <v>2244</v>
      </c>
      <c r="D15" s="290">
        <v>2021</v>
      </c>
      <c r="E15" s="290" t="s">
        <v>43</v>
      </c>
      <c r="F15" s="290">
        <v>9</v>
      </c>
      <c r="G15" s="292">
        <v>2955.4</v>
      </c>
    </row>
    <row r="16" spans="1:7">
      <c r="A16" s="291">
        <v>44799</v>
      </c>
      <c r="B16" s="290" t="s">
        <v>2232</v>
      </c>
      <c r="C16" s="290" t="s">
        <v>2244</v>
      </c>
      <c r="D16" s="290">
        <v>2021</v>
      </c>
      <c r="E16" s="290" t="s">
        <v>43</v>
      </c>
      <c r="F16" s="290">
        <v>10</v>
      </c>
      <c r="G16" s="292">
        <v>2573.5</v>
      </c>
    </row>
    <row r="17" spans="1:7">
      <c r="A17" s="291">
        <v>44799</v>
      </c>
      <c r="B17" s="290" t="s">
        <v>2232</v>
      </c>
      <c r="C17" s="290" t="s">
        <v>2244</v>
      </c>
      <c r="D17" s="290">
        <v>2021</v>
      </c>
      <c r="E17" s="290" t="s">
        <v>43</v>
      </c>
      <c r="F17" s="290">
        <v>11</v>
      </c>
      <c r="G17" s="292">
        <v>2482.8000000000002</v>
      </c>
    </row>
    <row r="18" spans="1:7">
      <c r="A18" s="291">
        <v>44799</v>
      </c>
      <c r="B18" s="290" t="s">
        <v>2232</v>
      </c>
      <c r="C18" s="290" t="s">
        <v>2244</v>
      </c>
      <c r="D18" s="290">
        <v>2021</v>
      </c>
      <c r="E18" s="290" t="s">
        <v>43</v>
      </c>
      <c r="F18" s="290">
        <v>12</v>
      </c>
      <c r="G18" s="292">
        <v>3165.7</v>
      </c>
    </row>
    <row r="19" spans="1:7">
      <c r="A19" s="291">
        <v>44799</v>
      </c>
      <c r="B19" s="290" t="s">
        <v>2232</v>
      </c>
      <c r="C19" s="290" t="s">
        <v>2244</v>
      </c>
      <c r="D19" s="290">
        <v>2021</v>
      </c>
      <c r="E19" s="290" t="s">
        <v>43</v>
      </c>
      <c r="F19" s="290">
        <v>13</v>
      </c>
      <c r="G19" s="292">
        <v>2257.8000000000002</v>
      </c>
    </row>
    <row r="20" spans="1:7">
      <c r="A20" s="291">
        <v>44799</v>
      </c>
      <c r="B20" s="290" t="s">
        <v>2232</v>
      </c>
      <c r="C20" s="290" t="s">
        <v>2244</v>
      </c>
      <c r="D20" s="290">
        <v>2021</v>
      </c>
      <c r="E20" s="290" t="s">
        <v>43</v>
      </c>
      <c r="F20" s="290">
        <v>14</v>
      </c>
      <c r="G20" s="292">
        <v>2038.7</v>
      </c>
    </row>
    <row r="21" spans="1:7">
      <c r="A21" s="291">
        <v>44799</v>
      </c>
      <c r="B21" s="290" t="s">
        <v>2232</v>
      </c>
      <c r="C21" s="290" t="s">
        <v>2247</v>
      </c>
      <c r="D21" s="290">
        <v>2021</v>
      </c>
      <c r="E21" s="290" t="s">
        <v>43</v>
      </c>
      <c r="F21" s="290">
        <v>15</v>
      </c>
      <c r="G21" s="292">
        <v>2958.9</v>
      </c>
    </row>
    <row r="22" spans="1:7">
      <c r="A22" s="291">
        <v>44799</v>
      </c>
      <c r="B22" s="290" t="s">
        <v>2232</v>
      </c>
      <c r="C22" s="290" t="s">
        <v>2247</v>
      </c>
      <c r="D22" s="290">
        <v>2021</v>
      </c>
      <c r="E22" s="290" t="s">
        <v>43</v>
      </c>
      <c r="F22" s="290" t="s">
        <v>2248</v>
      </c>
      <c r="G22" s="292">
        <v>2285.5</v>
      </c>
    </row>
    <row r="23" spans="1:7">
      <c r="A23" s="291">
        <v>44799</v>
      </c>
      <c r="B23" s="290" t="s">
        <v>2232</v>
      </c>
      <c r="C23" s="290" t="s">
        <v>2247</v>
      </c>
      <c r="D23" s="290">
        <v>2021</v>
      </c>
      <c r="E23" s="290" t="s">
        <v>43</v>
      </c>
      <c r="F23" s="290" t="s">
        <v>2249</v>
      </c>
      <c r="G23" s="292">
        <v>2152.9</v>
      </c>
    </row>
    <row r="24" spans="1:7">
      <c r="A24" s="291">
        <v>44799</v>
      </c>
      <c r="B24" s="290" t="s">
        <v>2232</v>
      </c>
      <c r="C24" s="290" t="s">
        <v>2247</v>
      </c>
      <c r="D24" s="290">
        <v>2021</v>
      </c>
      <c r="E24" s="290" t="s">
        <v>43</v>
      </c>
      <c r="F24" s="290">
        <v>17</v>
      </c>
      <c r="G24" s="292">
        <v>2180.4</v>
      </c>
    </row>
    <row r="25" spans="1:7">
      <c r="A25" s="291">
        <v>44799</v>
      </c>
      <c r="B25" s="290" t="s">
        <v>2232</v>
      </c>
      <c r="C25" s="290" t="s">
        <v>2247</v>
      </c>
      <c r="D25" s="290">
        <v>2021</v>
      </c>
      <c r="E25" s="290" t="s">
        <v>43</v>
      </c>
      <c r="F25" s="290">
        <v>18</v>
      </c>
      <c r="G25" s="292">
        <v>2199.9</v>
      </c>
    </row>
    <row r="26" spans="1:7">
      <c r="A26" s="291">
        <v>44799</v>
      </c>
      <c r="B26" s="290" t="s">
        <v>2232</v>
      </c>
      <c r="C26" s="290" t="s">
        <v>2247</v>
      </c>
      <c r="D26" s="290">
        <v>2021</v>
      </c>
      <c r="E26" s="290" t="s">
        <v>43</v>
      </c>
      <c r="F26" s="290">
        <v>19</v>
      </c>
      <c r="G26" s="292">
        <v>3130.9</v>
      </c>
    </row>
    <row r="27" spans="1:7">
      <c r="A27" s="291">
        <v>44799</v>
      </c>
      <c r="B27" s="290" t="s">
        <v>2232</v>
      </c>
      <c r="C27" s="290" t="s">
        <v>2247</v>
      </c>
      <c r="D27" s="290">
        <v>2021</v>
      </c>
      <c r="E27" s="290" t="s">
        <v>43</v>
      </c>
      <c r="F27" s="290">
        <v>20</v>
      </c>
      <c r="G27" s="292">
        <v>2445.8000000000002</v>
      </c>
    </row>
    <row r="28" spans="1:7" ht="15" thickBot="1">
      <c r="A28" s="291">
        <v>44799</v>
      </c>
      <c r="B28" s="290" t="s">
        <v>2232</v>
      </c>
      <c r="C28" s="290" t="s">
        <v>2247</v>
      </c>
      <c r="D28" s="290">
        <v>2021</v>
      </c>
      <c r="E28" s="293" t="s">
        <v>43</v>
      </c>
      <c r="F28" s="293">
        <v>21</v>
      </c>
      <c r="G28" s="294">
        <v>2132.6999999999998</v>
      </c>
    </row>
    <row r="29" spans="1:7">
      <c r="A29" s="291">
        <v>44799</v>
      </c>
      <c r="B29" s="290" t="s">
        <v>2232</v>
      </c>
      <c r="C29" s="290" t="s">
        <v>2247</v>
      </c>
      <c r="D29" s="290">
        <v>2021</v>
      </c>
      <c r="E29" s="295" t="s">
        <v>46</v>
      </c>
      <c r="F29" s="295" t="s">
        <v>2250</v>
      </c>
      <c r="G29" s="296">
        <v>2611.3000000000002</v>
      </c>
    </row>
    <row r="30" spans="1:7">
      <c r="A30" s="291">
        <v>44799</v>
      </c>
      <c r="B30" s="290" t="s">
        <v>2232</v>
      </c>
      <c r="C30" s="290" t="s">
        <v>2247</v>
      </c>
      <c r="D30" s="290">
        <v>2021</v>
      </c>
      <c r="E30" s="290" t="s">
        <v>46</v>
      </c>
      <c r="F30" s="290" t="s">
        <v>2251</v>
      </c>
      <c r="G30" s="292">
        <v>2677.3</v>
      </c>
    </row>
    <row r="31" spans="1:7">
      <c r="A31" s="291">
        <v>44799</v>
      </c>
      <c r="B31" s="290" t="s">
        <v>2232</v>
      </c>
      <c r="C31" s="290" t="s">
        <v>2247</v>
      </c>
      <c r="D31" s="290">
        <v>2021</v>
      </c>
      <c r="E31" s="290" t="s">
        <v>46</v>
      </c>
      <c r="F31" s="290">
        <v>2</v>
      </c>
      <c r="G31" s="292">
        <v>2360.3000000000002</v>
      </c>
    </row>
    <row r="32" spans="1:7">
      <c r="A32" s="291">
        <v>44799</v>
      </c>
      <c r="B32" s="290" t="s">
        <v>2232</v>
      </c>
      <c r="C32" s="290" t="s">
        <v>2247</v>
      </c>
      <c r="D32" s="290">
        <v>2021</v>
      </c>
      <c r="E32" s="290" t="s">
        <v>46</v>
      </c>
      <c r="F32" s="290">
        <v>3</v>
      </c>
      <c r="G32" s="292">
        <v>2112.6</v>
      </c>
    </row>
    <row r="33" spans="1:7">
      <c r="A33" s="291">
        <v>44799</v>
      </c>
      <c r="B33" s="290" t="s">
        <v>2232</v>
      </c>
      <c r="C33" s="290" t="s">
        <v>2247</v>
      </c>
      <c r="D33" s="290">
        <v>2021</v>
      </c>
      <c r="E33" s="290" t="s">
        <v>46</v>
      </c>
      <c r="F33" s="290">
        <v>4</v>
      </c>
      <c r="G33" s="292">
        <v>3015.5</v>
      </c>
    </row>
    <row r="34" spans="1:7">
      <c r="A34" s="291">
        <v>44799</v>
      </c>
      <c r="B34" s="290" t="s">
        <v>2232</v>
      </c>
      <c r="C34" s="290" t="s">
        <v>2247</v>
      </c>
      <c r="D34" s="290">
        <v>2021</v>
      </c>
      <c r="E34" s="290" t="s">
        <v>46</v>
      </c>
      <c r="F34" s="290">
        <v>5</v>
      </c>
      <c r="G34" s="292">
        <v>2785</v>
      </c>
    </row>
    <row r="35" spans="1:7">
      <c r="A35" s="291">
        <v>44799</v>
      </c>
      <c r="B35" s="290" t="s">
        <v>2232</v>
      </c>
      <c r="C35" s="290" t="s">
        <v>2247</v>
      </c>
      <c r="D35" s="290">
        <v>2021</v>
      </c>
      <c r="E35" s="290" t="s">
        <v>46</v>
      </c>
      <c r="F35" s="290">
        <v>6</v>
      </c>
      <c r="G35" s="292">
        <v>2658.4</v>
      </c>
    </row>
    <row r="36" spans="1:7">
      <c r="A36" s="291">
        <v>44799</v>
      </c>
      <c r="B36" s="290" t="s">
        <v>2232</v>
      </c>
      <c r="C36" s="290" t="s">
        <v>2247</v>
      </c>
      <c r="D36" s="290">
        <v>2021</v>
      </c>
      <c r="E36" s="290" t="s">
        <v>46</v>
      </c>
      <c r="F36" s="290">
        <v>7</v>
      </c>
      <c r="G36" s="292">
        <v>2941.3</v>
      </c>
    </row>
    <row r="37" spans="1:7">
      <c r="A37" s="291">
        <v>44799</v>
      </c>
      <c r="B37" s="290" t="s">
        <v>2232</v>
      </c>
      <c r="C37" s="290" t="s">
        <v>2247</v>
      </c>
      <c r="D37" s="290">
        <v>2021</v>
      </c>
      <c r="E37" s="290" t="s">
        <v>46</v>
      </c>
      <c r="F37" s="290">
        <v>8</v>
      </c>
      <c r="G37" s="292">
        <v>2499.6999999999998</v>
      </c>
    </row>
    <row r="38" spans="1:7">
      <c r="A38" s="291">
        <v>44799</v>
      </c>
      <c r="B38" s="290" t="s">
        <v>2232</v>
      </c>
      <c r="C38" s="290" t="s">
        <v>2252</v>
      </c>
      <c r="D38" s="290">
        <v>2021</v>
      </c>
      <c r="E38" s="290" t="s">
        <v>46</v>
      </c>
      <c r="F38" s="290">
        <v>9</v>
      </c>
      <c r="G38" s="292">
        <v>2257.5</v>
      </c>
    </row>
    <row r="39" spans="1:7">
      <c r="A39" s="291">
        <v>44799</v>
      </c>
      <c r="B39" s="290" t="s">
        <v>2232</v>
      </c>
      <c r="C39" s="290" t="s">
        <v>2252</v>
      </c>
      <c r="D39" s="290">
        <v>2021</v>
      </c>
      <c r="E39" s="290" t="s">
        <v>46</v>
      </c>
      <c r="F39" s="290">
        <v>10</v>
      </c>
      <c r="G39" s="292">
        <v>3073.5</v>
      </c>
    </row>
    <row r="40" spans="1:7">
      <c r="A40" s="291">
        <v>44799</v>
      </c>
      <c r="B40" s="290" t="s">
        <v>2232</v>
      </c>
      <c r="C40" s="290" t="s">
        <v>2252</v>
      </c>
      <c r="D40" s="290">
        <v>2021</v>
      </c>
      <c r="E40" s="290" t="s">
        <v>46</v>
      </c>
      <c r="F40" s="290">
        <v>11</v>
      </c>
      <c r="G40" s="292">
        <v>3037.6</v>
      </c>
    </row>
    <row r="41" spans="1:7">
      <c r="A41" s="291">
        <v>44799</v>
      </c>
      <c r="B41" s="290" t="s">
        <v>2232</v>
      </c>
      <c r="C41" s="290" t="s">
        <v>2252</v>
      </c>
      <c r="D41" s="290">
        <v>2021</v>
      </c>
      <c r="E41" s="290" t="s">
        <v>46</v>
      </c>
      <c r="F41" s="290">
        <v>12</v>
      </c>
      <c r="G41" s="292">
        <v>2922.9</v>
      </c>
    </row>
    <row r="42" spans="1:7">
      <c r="A42" s="291">
        <v>44799</v>
      </c>
      <c r="B42" s="290" t="s">
        <v>2232</v>
      </c>
      <c r="C42" s="290" t="s">
        <v>2252</v>
      </c>
      <c r="D42" s="290">
        <v>2021</v>
      </c>
      <c r="E42" s="290" t="s">
        <v>46</v>
      </c>
      <c r="F42" s="290">
        <v>13</v>
      </c>
      <c r="G42" s="292">
        <v>3116.3</v>
      </c>
    </row>
    <row r="43" spans="1:7">
      <c r="A43" s="291">
        <v>44799</v>
      </c>
      <c r="B43" s="290" t="s">
        <v>2232</v>
      </c>
      <c r="C43" s="290" t="s">
        <v>2252</v>
      </c>
      <c r="D43" s="290">
        <v>2021</v>
      </c>
      <c r="E43" s="290" t="s">
        <v>46</v>
      </c>
      <c r="F43" s="290">
        <v>14</v>
      </c>
      <c r="G43" s="292">
        <v>2330.9</v>
      </c>
    </row>
    <row r="44" spans="1:7">
      <c r="A44" s="291">
        <v>44799</v>
      </c>
      <c r="B44" s="290" t="s">
        <v>2232</v>
      </c>
      <c r="C44" s="290" t="s">
        <v>2252</v>
      </c>
      <c r="D44" s="290">
        <v>2021</v>
      </c>
      <c r="E44" s="290" t="s">
        <v>46</v>
      </c>
      <c r="F44" s="290">
        <v>15</v>
      </c>
      <c r="G44" s="292">
        <v>2075.6</v>
      </c>
    </row>
    <row r="45" spans="1:7">
      <c r="A45" s="291">
        <v>44799</v>
      </c>
      <c r="B45" s="290" t="s">
        <v>2232</v>
      </c>
      <c r="C45" s="290" t="s">
        <v>2252</v>
      </c>
      <c r="D45" s="290">
        <v>2021</v>
      </c>
      <c r="E45" s="290" t="s">
        <v>46</v>
      </c>
      <c r="F45" s="290">
        <v>16</v>
      </c>
      <c r="G45" s="292">
        <v>3027.7</v>
      </c>
    </row>
    <row r="46" spans="1:7">
      <c r="A46" s="291">
        <v>44799</v>
      </c>
      <c r="B46" s="290" t="s">
        <v>2232</v>
      </c>
      <c r="C46" s="290" t="s">
        <v>2252</v>
      </c>
      <c r="D46" s="290">
        <v>2021</v>
      </c>
      <c r="E46" s="290" t="s">
        <v>46</v>
      </c>
      <c r="F46" s="290" t="s">
        <v>2253</v>
      </c>
      <c r="G46" s="292">
        <v>2234.8000000000002</v>
      </c>
    </row>
    <row r="47" spans="1:7">
      <c r="A47" s="291">
        <v>44799</v>
      </c>
      <c r="B47" s="290" t="s">
        <v>2232</v>
      </c>
      <c r="C47" s="290" t="s">
        <v>2254</v>
      </c>
      <c r="D47" s="290">
        <v>2021</v>
      </c>
      <c r="E47" s="290" t="s">
        <v>46</v>
      </c>
      <c r="F47" s="290" t="s">
        <v>2255</v>
      </c>
      <c r="G47" s="292">
        <v>3015</v>
      </c>
    </row>
    <row r="48" spans="1:7">
      <c r="A48" s="291">
        <v>44799</v>
      </c>
      <c r="B48" s="290" t="s">
        <v>2232</v>
      </c>
      <c r="C48" s="290" t="s">
        <v>2254</v>
      </c>
      <c r="D48" s="290">
        <v>2021</v>
      </c>
      <c r="E48" s="290" t="s">
        <v>46</v>
      </c>
      <c r="F48" s="290">
        <v>18</v>
      </c>
      <c r="G48" s="292">
        <v>2078</v>
      </c>
    </row>
    <row r="49" spans="1:7">
      <c r="A49" s="291">
        <v>44799</v>
      </c>
      <c r="B49" s="290" t="s">
        <v>2232</v>
      </c>
      <c r="C49" s="290" t="s">
        <v>2254</v>
      </c>
      <c r="D49" s="290">
        <v>2021</v>
      </c>
      <c r="E49" s="290" t="s">
        <v>46</v>
      </c>
      <c r="F49" s="290">
        <v>19</v>
      </c>
      <c r="G49" s="292">
        <v>2541.6</v>
      </c>
    </row>
    <row r="50" spans="1:7">
      <c r="A50" s="291">
        <v>44799</v>
      </c>
      <c r="B50" s="290" t="s">
        <v>2232</v>
      </c>
      <c r="C50" s="290" t="s">
        <v>2254</v>
      </c>
      <c r="D50" s="290">
        <v>2021</v>
      </c>
      <c r="E50" s="290" t="s">
        <v>46</v>
      </c>
      <c r="F50" s="290">
        <v>20</v>
      </c>
      <c r="G50" s="292">
        <v>2560.5</v>
      </c>
    </row>
    <row r="51" spans="1:7" ht="15" thickBot="1">
      <c r="A51" s="291">
        <v>44799</v>
      </c>
      <c r="B51" s="290" t="s">
        <v>2232</v>
      </c>
      <c r="C51" s="290" t="s">
        <v>2254</v>
      </c>
      <c r="D51" s="290">
        <v>2021</v>
      </c>
      <c r="E51" s="293" t="s">
        <v>46</v>
      </c>
      <c r="F51" s="293">
        <v>21</v>
      </c>
      <c r="G51" s="294">
        <v>3110.9</v>
      </c>
    </row>
    <row r="52" spans="1:7">
      <c r="A52" s="291">
        <v>44799</v>
      </c>
      <c r="B52" s="290" t="s">
        <v>2232</v>
      </c>
      <c r="C52" s="295" t="s">
        <v>2256</v>
      </c>
      <c r="D52" s="290">
        <v>2021</v>
      </c>
      <c r="E52" s="295" t="s">
        <v>47</v>
      </c>
      <c r="F52" s="295">
        <v>1</v>
      </c>
      <c r="G52" s="296">
        <v>2640.2</v>
      </c>
    </row>
    <row r="53" spans="1:7">
      <c r="A53" s="291">
        <v>44799</v>
      </c>
      <c r="B53" s="290" t="s">
        <v>2232</v>
      </c>
      <c r="C53" s="295" t="s">
        <v>2256</v>
      </c>
      <c r="D53" s="290">
        <v>2021</v>
      </c>
      <c r="E53" s="290" t="s">
        <v>47</v>
      </c>
      <c r="F53" s="290">
        <v>2</v>
      </c>
      <c r="G53" s="292">
        <v>3024.4</v>
      </c>
    </row>
    <row r="54" spans="1:7">
      <c r="A54" s="291">
        <v>44799</v>
      </c>
      <c r="B54" s="290" t="s">
        <v>2232</v>
      </c>
      <c r="C54" s="295" t="s">
        <v>2256</v>
      </c>
      <c r="D54" s="290">
        <v>2021</v>
      </c>
      <c r="E54" s="290" t="s">
        <v>47</v>
      </c>
      <c r="F54" s="290">
        <v>3</v>
      </c>
      <c r="G54" s="292">
        <v>3008.3</v>
      </c>
    </row>
    <row r="55" spans="1:7">
      <c r="A55" s="291">
        <v>44799</v>
      </c>
      <c r="B55" s="290" t="s">
        <v>2232</v>
      </c>
      <c r="C55" s="295" t="s">
        <v>2256</v>
      </c>
      <c r="D55" s="290">
        <v>2021</v>
      </c>
      <c r="E55" s="290" t="s">
        <v>47</v>
      </c>
      <c r="F55" s="290">
        <v>4</v>
      </c>
      <c r="G55" s="292">
        <v>2471</v>
      </c>
    </row>
    <row r="56" spans="1:7">
      <c r="A56" s="291">
        <v>44799</v>
      </c>
      <c r="B56" s="290" t="s">
        <v>2232</v>
      </c>
      <c r="C56" s="295" t="s">
        <v>2256</v>
      </c>
      <c r="D56" s="290">
        <v>2021</v>
      </c>
      <c r="E56" s="290" t="s">
        <v>47</v>
      </c>
      <c r="F56" s="290">
        <v>5</v>
      </c>
      <c r="G56" s="292">
        <v>2795.1</v>
      </c>
    </row>
    <row r="57" spans="1:7">
      <c r="A57" s="291">
        <v>44799</v>
      </c>
      <c r="B57" s="290" t="s">
        <v>2232</v>
      </c>
      <c r="C57" s="295" t="s">
        <v>2256</v>
      </c>
      <c r="D57" s="290">
        <v>2021</v>
      </c>
      <c r="E57" s="290" t="s">
        <v>47</v>
      </c>
      <c r="F57" s="290">
        <v>6</v>
      </c>
      <c r="G57" s="292">
        <v>2851.2</v>
      </c>
    </row>
    <row r="58" spans="1:7">
      <c r="A58" s="291">
        <v>44799</v>
      </c>
      <c r="B58" s="290" t="s">
        <v>2232</v>
      </c>
      <c r="C58" s="295" t="s">
        <v>2256</v>
      </c>
      <c r="D58" s="290">
        <v>2021</v>
      </c>
      <c r="E58" s="290" t="s">
        <v>47</v>
      </c>
      <c r="F58" s="290">
        <v>7</v>
      </c>
      <c r="G58" s="292">
        <v>2864.2</v>
      </c>
    </row>
    <row r="59" spans="1:7">
      <c r="A59" s="291">
        <v>44799</v>
      </c>
      <c r="B59" s="290" t="s">
        <v>2232</v>
      </c>
      <c r="C59" s="295" t="s">
        <v>2256</v>
      </c>
      <c r="D59" s="290">
        <v>2021</v>
      </c>
      <c r="E59" s="290" t="s">
        <v>47</v>
      </c>
      <c r="F59" s="290">
        <v>8</v>
      </c>
      <c r="G59" s="292">
        <v>2940.6</v>
      </c>
    </row>
    <row r="60" spans="1:7">
      <c r="A60" s="291">
        <v>44799</v>
      </c>
      <c r="B60" s="290" t="s">
        <v>2232</v>
      </c>
      <c r="C60" s="295" t="s">
        <v>2256</v>
      </c>
      <c r="D60" s="290">
        <v>2021</v>
      </c>
      <c r="E60" s="290" t="s">
        <v>47</v>
      </c>
      <c r="F60" s="290">
        <v>9</v>
      </c>
      <c r="G60" s="292">
        <v>2077.6999999999998</v>
      </c>
    </row>
    <row r="61" spans="1:7">
      <c r="A61" s="291">
        <v>44799</v>
      </c>
      <c r="B61" s="290" t="s">
        <v>2232</v>
      </c>
      <c r="C61" s="295" t="s">
        <v>2256</v>
      </c>
      <c r="D61" s="290">
        <v>2021</v>
      </c>
      <c r="E61" s="290" t="s">
        <v>47</v>
      </c>
      <c r="F61" s="290">
        <v>10</v>
      </c>
      <c r="G61" s="292">
        <v>2437.6999999999998</v>
      </c>
    </row>
    <row r="62" spans="1:7">
      <c r="A62" s="291">
        <v>44799</v>
      </c>
      <c r="B62" s="290" t="s">
        <v>2232</v>
      </c>
      <c r="C62" s="295" t="s">
        <v>2256</v>
      </c>
      <c r="D62" s="290">
        <v>2021</v>
      </c>
      <c r="E62" s="290" t="s">
        <v>47</v>
      </c>
      <c r="F62" s="290" t="s">
        <v>2257</v>
      </c>
      <c r="G62" s="292">
        <v>2842</v>
      </c>
    </row>
    <row r="63" spans="1:7">
      <c r="A63" s="291">
        <v>44799</v>
      </c>
      <c r="B63" s="290" t="s">
        <v>2232</v>
      </c>
      <c r="C63" s="295" t="s">
        <v>2256</v>
      </c>
      <c r="D63" s="290">
        <v>2021</v>
      </c>
      <c r="E63" s="290" t="s">
        <v>47</v>
      </c>
      <c r="F63" s="290" t="s">
        <v>2258</v>
      </c>
      <c r="G63" s="292">
        <v>2899.1</v>
      </c>
    </row>
    <row r="64" spans="1:7">
      <c r="A64" s="291">
        <v>44799</v>
      </c>
      <c r="B64" s="290" t="s">
        <v>2232</v>
      </c>
      <c r="C64" s="295" t="s">
        <v>2256</v>
      </c>
      <c r="D64" s="290">
        <v>2021</v>
      </c>
      <c r="E64" s="290" t="s">
        <v>47</v>
      </c>
      <c r="F64" s="290">
        <v>12</v>
      </c>
      <c r="G64" s="292">
        <v>3127.5</v>
      </c>
    </row>
    <row r="65" spans="1:7">
      <c r="A65" s="291">
        <v>44799</v>
      </c>
      <c r="B65" s="290" t="s">
        <v>2232</v>
      </c>
      <c r="C65" s="295" t="s">
        <v>2256</v>
      </c>
      <c r="D65" s="290">
        <v>2021</v>
      </c>
      <c r="E65" s="290" t="s">
        <v>47</v>
      </c>
      <c r="F65" s="290">
        <v>13</v>
      </c>
      <c r="G65" s="292">
        <v>2384.6</v>
      </c>
    </row>
    <row r="66" spans="1:7">
      <c r="A66" s="291">
        <v>44799</v>
      </c>
      <c r="B66" s="290" t="s">
        <v>2232</v>
      </c>
      <c r="C66" s="295" t="s">
        <v>2256</v>
      </c>
      <c r="D66" s="290">
        <v>2021</v>
      </c>
      <c r="E66" s="290" t="s">
        <v>47</v>
      </c>
      <c r="F66" s="290">
        <v>14</v>
      </c>
      <c r="G66" s="292">
        <v>2270.4</v>
      </c>
    </row>
    <row r="67" spans="1:7">
      <c r="A67" s="291">
        <v>44799</v>
      </c>
      <c r="B67" s="290" t="s">
        <v>2232</v>
      </c>
      <c r="C67" s="295" t="s">
        <v>2256</v>
      </c>
      <c r="D67" s="290">
        <v>2021</v>
      </c>
      <c r="E67" s="290" t="s">
        <v>47</v>
      </c>
      <c r="F67" s="290">
        <v>15</v>
      </c>
      <c r="G67" s="292">
        <v>2308.4</v>
      </c>
    </row>
    <row r="68" spans="1:7">
      <c r="A68" s="291">
        <v>44799</v>
      </c>
      <c r="B68" s="290" t="s">
        <v>2232</v>
      </c>
      <c r="C68" s="295" t="s">
        <v>2256</v>
      </c>
      <c r="D68" s="290">
        <v>2021</v>
      </c>
      <c r="E68" s="290" t="s">
        <v>47</v>
      </c>
      <c r="F68" s="290" t="s">
        <v>2248</v>
      </c>
      <c r="G68" s="292">
        <v>2465.1</v>
      </c>
    </row>
    <row r="69" spans="1:7">
      <c r="A69" s="291">
        <v>44799</v>
      </c>
      <c r="B69" s="290" t="s">
        <v>2232</v>
      </c>
      <c r="C69" s="295" t="s">
        <v>2256</v>
      </c>
      <c r="D69" s="290">
        <v>2021</v>
      </c>
      <c r="E69" s="290" t="s">
        <v>47</v>
      </c>
      <c r="F69" s="290" t="s">
        <v>2249</v>
      </c>
      <c r="G69" s="292">
        <v>2163.1</v>
      </c>
    </row>
    <row r="70" spans="1:7">
      <c r="A70" s="291">
        <v>44799</v>
      </c>
      <c r="B70" s="290" t="s">
        <v>2232</v>
      </c>
      <c r="C70" s="295" t="s">
        <v>2256</v>
      </c>
      <c r="D70" s="290">
        <v>2021</v>
      </c>
      <c r="E70" s="290" t="s">
        <v>47</v>
      </c>
      <c r="F70" s="290">
        <v>17</v>
      </c>
      <c r="G70" s="292">
        <v>2443.8000000000002</v>
      </c>
    </row>
    <row r="71" spans="1:7">
      <c r="A71" s="291">
        <v>44799</v>
      </c>
      <c r="B71" s="290" t="s">
        <v>2232</v>
      </c>
      <c r="C71" s="295" t="s">
        <v>2256</v>
      </c>
      <c r="D71" s="290">
        <v>2021</v>
      </c>
      <c r="E71" s="290" t="s">
        <v>47</v>
      </c>
      <c r="F71" s="290">
        <v>18</v>
      </c>
      <c r="G71" s="292">
        <v>2432.9</v>
      </c>
    </row>
    <row r="72" spans="1:7">
      <c r="A72" s="291">
        <v>44799</v>
      </c>
      <c r="B72" s="290" t="s">
        <v>2232</v>
      </c>
      <c r="C72" s="295" t="s">
        <v>2256</v>
      </c>
      <c r="D72" s="290">
        <v>2021</v>
      </c>
      <c r="E72" s="290" t="s">
        <v>47</v>
      </c>
      <c r="F72" s="290">
        <v>19</v>
      </c>
      <c r="G72" s="292">
        <v>2464.3000000000002</v>
      </c>
    </row>
    <row r="73" spans="1:7">
      <c r="A73" s="291">
        <v>44799</v>
      </c>
      <c r="B73" s="290" t="s">
        <v>2232</v>
      </c>
      <c r="C73" s="295" t="s">
        <v>2256</v>
      </c>
      <c r="D73" s="290">
        <v>2021</v>
      </c>
      <c r="E73" s="290" t="s">
        <v>47</v>
      </c>
      <c r="F73" s="290">
        <v>20</v>
      </c>
      <c r="G73" s="292">
        <v>2662.2</v>
      </c>
    </row>
    <row r="74" spans="1:7">
      <c r="A74" s="291">
        <v>44799</v>
      </c>
      <c r="B74" s="290" t="s">
        <v>2232</v>
      </c>
      <c r="C74" s="295" t="s">
        <v>2256</v>
      </c>
      <c r="D74" s="290">
        <v>2021</v>
      </c>
      <c r="E74" s="290" t="s">
        <v>47</v>
      </c>
      <c r="F74" s="290">
        <v>21</v>
      </c>
      <c r="G74" s="292">
        <v>2457.1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D30C-F878-44D6-9A80-32278759CC6D}">
  <dimension ref="A1:AM187"/>
  <sheetViews>
    <sheetView zoomScale="80" zoomScaleNormal="80" workbookViewId="0">
      <selection activeCell="AB6" sqref="AB6"/>
    </sheetView>
  </sheetViews>
  <sheetFormatPr defaultRowHeight="14.5"/>
  <cols>
    <col min="1" max="1" width="14.453125" customWidth="1"/>
    <col min="3" max="3" width="22.26953125" customWidth="1"/>
    <col min="12" max="12" width="8.7265625" style="39"/>
    <col min="24" max="24" width="13.7265625" customWidth="1"/>
    <col min="25" max="25" width="9.7265625" customWidth="1"/>
    <col min="26" max="26" width="11.54296875" customWidth="1"/>
    <col min="27" max="27" width="11.453125" customWidth="1"/>
    <col min="28" max="28" width="13.1796875" customWidth="1"/>
    <col min="32" max="32" width="12" bestFit="1" customWidth="1"/>
    <col min="34" max="34" width="12.7265625" bestFit="1" customWidth="1"/>
  </cols>
  <sheetData>
    <row r="1" spans="1:39" s="298" customFormat="1" ht="15.5">
      <c r="A1" s="297" t="s">
        <v>2288</v>
      </c>
      <c r="L1" s="39"/>
    </row>
    <row r="2" spans="1:39" ht="15" thickBot="1"/>
    <row r="3" spans="1:39" ht="29">
      <c r="A3" s="299"/>
      <c r="B3" s="300"/>
      <c r="C3" s="301"/>
      <c r="D3" s="302" t="s">
        <v>2259</v>
      </c>
      <c r="E3" s="303" t="s">
        <v>2260</v>
      </c>
      <c r="F3" s="303" t="s">
        <v>2259</v>
      </c>
      <c r="G3" s="304"/>
      <c r="H3" s="303"/>
      <c r="I3" s="303" t="s">
        <v>2261</v>
      </c>
      <c r="J3" s="304"/>
      <c r="K3" s="461" t="s">
        <v>2262</v>
      </c>
      <c r="L3" s="462"/>
      <c r="M3" s="461" t="s">
        <v>2263</v>
      </c>
      <c r="N3" s="463"/>
      <c r="O3" s="305"/>
      <c r="P3" s="305"/>
      <c r="Q3" s="305"/>
      <c r="R3" s="305"/>
      <c r="S3" s="301"/>
      <c r="T3" s="301"/>
      <c r="U3" s="301"/>
      <c r="X3" s="306" t="s">
        <v>2264</v>
      </c>
      <c r="Y3" s="307"/>
      <c r="Z3" s="307"/>
      <c r="AA3" s="307"/>
      <c r="AB3" s="308"/>
    </row>
    <row r="4" spans="1:39" ht="87">
      <c r="A4" s="309" t="s">
        <v>2265</v>
      </c>
      <c r="B4" s="310" t="s">
        <v>2266</v>
      </c>
      <c r="C4" s="311" t="s">
        <v>2267</v>
      </c>
      <c r="D4" s="312" t="s">
        <v>2243</v>
      </c>
      <c r="E4" s="302"/>
      <c r="F4" s="302" t="s">
        <v>2268</v>
      </c>
      <c r="G4" s="302" t="s">
        <v>2269</v>
      </c>
      <c r="H4" s="302" t="s">
        <v>2270</v>
      </c>
      <c r="I4" s="302" t="s">
        <v>2271</v>
      </c>
      <c r="J4" s="302" t="s">
        <v>2272</v>
      </c>
      <c r="K4" s="313" t="s">
        <v>2273</v>
      </c>
      <c r="L4" s="325" t="s">
        <v>2274</v>
      </c>
      <c r="M4" s="302" t="s">
        <v>2273</v>
      </c>
      <c r="N4" s="314" t="s">
        <v>2275</v>
      </c>
      <c r="O4" s="302" t="s">
        <v>2276</v>
      </c>
      <c r="P4" s="302" t="s">
        <v>2277</v>
      </c>
      <c r="Q4" s="302" t="s">
        <v>2278</v>
      </c>
      <c r="R4" s="302" t="s">
        <v>2279</v>
      </c>
      <c r="S4" s="311" t="s">
        <v>2280</v>
      </c>
      <c r="T4" s="311" t="s">
        <v>2281</v>
      </c>
      <c r="U4" s="312" t="s">
        <v>222</v>
      </c>
      <c r="X4" s="315" t="s">
        <v>2282</v>
      </c>
      <c r="Y4" s="316" t="s">
        <v>2283</v>
      </c>
      <c r="Z4" s="317" t="s">
        <v>2284</v>
      </c>
      <c r="AA4" s="317" t="s">
        <v>2285</v>
      </c>
      <c r="AB4" s="318" t="s">
        <v>2286</v>
      </c>
      <c r="AC4" s="319" t="s">
        <v>183</v>
      </c>
      <c r="AD4" s="320" t="s">
        <v>2170</v>
      </c>
      <c r="AE4" s="319" t="s">
        <v>109</v>
      </c>
      <c r="AF4" s="319" t="s">
        <v>2275</v>
      </c>
      <c r="AG4" s="319" t="s">
        <v>2287</v>
      </c>
      <c r="AJ4" s="464" t="s">
        <v>2346</v>
      </c>
      <c r="AK4" s="2"/>
      <c r="AL4" s="2"/>
      <c r="AM4" s="2"/>
    </row>
    <row r="5" spans="1:39" ht="15.5">
      <c r="X5" s="323"/>
      <c r="Y5" s="324"/>
      <c r="Z5" s="328">
        <f>MAX(Y14,Y53,Y90,Y127,Y161)</f>
        <v>5.2085425318121947</v>
      </c>
      <c r="AA5" s="328">
        <f>MIN(Y14,Y53,Y90,Y127,Y161)</f>
        <v>2.0424998748533287</v>
      </c>
      <c r="AB5" s="329">
        <f>(Z5/12.01)*100.0869</f>
        <v>43.406067904016155</v>
      </c>
      <c r="AC5" s="319"/>
      <c r="AD5" s="320"/>
      <c r="AE5" s="319"/>
      <c r="AF5" s="319"/>
      <c r="AG5" s="319"/>
      <c r="AJ5" s="464"/>
      <c r="AK5" s="68" t="s">
        <v>2347</v>
      </c>
      <c r="AL5" s="2"/>
      <c r="AM5" s="68"/>
    </row>
    <row r="6" spans="1:39" ht="16" thickBot="1">
      <c r="A6" t="s">
        <v>2289</v>
      </c>
      <c r="X6" s="465" t="s">
        <v>2355</v>
      </c>
      <c r="Y6" s="466"/>
      <c r="Z6" s="330">
        <f>(Z5/AK15)*100</f>
        <v>2.617307296053514</v>
      </c>
      <c r="AA6" s="330">
        <f>(AA5/AK15)*100</f>
        <v>1.0263619413667413</v>
      </c>
      <c r="AB6" s="331">
        <f>(AB5/((AK15/12.01)*100.0869))*100</f>
        <v>2.6173072960535149</v>
      </c>
      <c r="AC6" s="319"/>
      <c r="AD6" s="320"/>
      <c r="AE6" s="319" t="s">
        <v>2356</v>
      </c>
      <c r="AF6" s="319" t="s">
        <v>2357</v>
      </c>
      <c r="AG6" s="319"/>
      <c r="AJ6" s="464"/>
      <c r="AK6" s="2"/>
      <c r="AL6" s="2"/>
      <c r="AM6" s="68" t="s">
        <v>2348</v>
      </c>
    </row>
    <row r="7" spans="1:39" ht="15.5">
      <c r="A7" t="s">
        <v>2290</v>
      </c>
      <c r="AJ7" s="68" t="s">
        <v>2349</v>
      </c>
      <c r="AK7" s="16">
        <f>AVERAGE(H9:H11,H17:H18,H21:H22,H30,H38,H40,H48:H50,H56:H57,H60:H61,H69,H77,H79,H85:H87,H93:H94,H97:H98,H106,H114,H116,H122:H124,H130:H131,H134:H135,H156:H158,H143,H151,H153,H164:H165,H168:H169,H177,H184,H186)</f>
        <v>0.27223600000000003</v>
      </c>
      <c r="AL7" s="2"/>
      <c r="AM7" s="16">
        <f>(AK7/AK15)*100</f>
        <v>0.13679935695955955</v>
      </c>
    </row>
    <row r="8" spans="1:39" ht="31">
      <c r="A8" t="s">
        <v>2291</v>
      </c>
      <c r="X8" s="322">
        <f>A9</f>
        <v>44804</v>
      </c>
      <c r="AC8">
        <v>2021</v>
      </c>
      <c r="AD8" t="s">
        <v>43</v>
      </c>
      <c r="AE8">
        <v>1</v>
      </c>
      <c r="AF8">
        <f>L23</f>
        <v>56.120943126948475</v>
      </c>
      <c r="AH8" s="321" t="s">
        <v>2350</v>
      </c>
      <c r="AJ8" s="68" t="s">
        <v>2037</v>
      </c>
      <c r="AK8" s="16">
        <f>_xlfn.STDEV.P(H9:H11,H17:H18,H21:H22,H30,H38,H40,H48:H50,H56:H57,H60:H61,H69,H77,H79,H85:H87,H93:H94,H97:H98,H106,H114,H116,H122:H124,H130:H131,H134:H135,H156:H158,H143,H151,H153,H164:H165,H168:H169,H177,H184,H186)</f>
        <v>0.15926361889646978</v>
      </c>
    </row>
    <row r="9" spans="1:39" ht="15.5">
      <c r="A9" s="124">
        <v>44804</v>
      </c>
      <c r="B9">
        <v>1</v>
      </c>
      <c r="C9" t="s">
        <v>2292</v>
      </c>
      <c r="H9">
        <v>0</v>
      </c>
      <c r="X9" s="100">
        <f>((J11-INDEX(LINEST($H$11:$H$16,$G$11:$G$16),2))/INDEX(LINEST($H$11:$H$16,$G$11:$G$16),1)/100.09)*12.01</f>
        <v>-0.13374032680995915</v>
      </c>
      <c r="Y9" s="100">
        <f>(J11-X9)^2</f>
        <v>8.8042952342208949E-2</v>
      </c>
      <c r="AC9">
        <v>2021</v>
      </c>
      <c r="AD9" t="s">
        <v>43</v>
      </c>
      <c r="AE9">
        <v>2</v>
      </c>
      <c r="AF9">
        <f>L24</f>
        <v>66.974910466021313</v>
      </c>
      <c r="AJ9" s="68" t="s">
        <v>2351</v>
      </c>
      <c r="AK9" s="2">
        <f>COUNT(H9:H11,H17:H18,H21:H22,H30,H38,H40,H48:H50,H56:H57,H60:H61,H69,H77,H79,H85:H87,H93:H94,H97:H98,H106,H114,H116,H122:H124,H130:H131,H134:H135,H156:H158,H143,H151,H153,H164:H165,H168:H169,H177,H184,H186)</f>
        <v>50</v>
      </c>
    </row>
    <row r="10" spans="1:39" ht="15.5">
      <c r="A10" s="124">
        <v>44804</v>
      </c>
      <c r="B10">
        <v>2</v>
      </c>
      <c r="C10" t="s">
        <v>2293</v>
      </c>
      <c r="H10">
        <v>0</v>
      </c>
      <c r="X10" s="100">
        <f t="shared" ref="X10:X13" si="0">((J12-INDEX(LINEST($H$11:$H$16,$G$11:$G$16),2))/INDEX(LINEST($H$11:$H$16,$G$11:$G$16),1)/100.09)*12.01</f>
        <v>32.347676354575583</v>
      </c>
      <c r="Y10" s="100">
        <f t="shared" ref="Y10:Y13" si="1">(J12-X10)^2</f>
        <v>2.1768154222824142E-3</v>
      </c>
      <c r="AC10">
        <v>2021</v>
      </c>
      <c r="AD10" t="s">
        <v>43</v>
      </c>
      <c r="AE10">
        <v>3</v>
      </c>
      <c r="AF10" s="39">
        <f>AVERAGE(L29,L32)</f>
        <v>64.987639329772378</v>
      </c>
      <c r="AG10" s="48" t="s">
        <v>2358</v>
      </c>
      <c r="AH10" s="48">
        <f>((L29-L32)/AVERAGE(L29,L32))*100</f>
        <v>-0.99173126534561518</v>
      </c>
      <c r="AJ10" s="68"/>
      <c r="AK10" s="2"/>
    </row>
    <row r="11" spans="1:39">
      <c r="A11" s="124">
        <v>44804</v>
      </c>
      <c r="B11">
        <v>3</v>
      </c>
      <c r="C11" t="s">
        <v>2294</v>
      </c>
      <c r="G11">
        <v>0</v>
      </c>
      <c r="H11">
        <v>0.20499999999999999</v>
      </c>
      <c r="I11">
        <v>0.16297999999999999</v>
      </c>
      <c r="J11">
        <v>0.16297999999999999</v>
      </c>
      <c r="X11" s="100">
        <f t="shared" si="0"/>
        <v>152.25992643567307</v>
      </c>
      <c r="Y11" s="100">
        <f t="shared" si="1"/>
        <v>1.7274014068516621</v>
      </c>
      <c r="AC11">
        <v>2021</v>
      </c>
      <c r="AD11" t="s">
        <v>43</v>
      </c>
      <c r="AE11">
        <v>4</v>
      </c>
      <c r="AF11">
        <f>L25</f>
        <v>68.784728071542688</v>
      </c>
    </row>
    <row r="12" spans="1:39" ht="15.5">
      <c r="A12" s="124">
        <v>44804</v>
      </c>
      <c r="B12">
        <v>4</v>
      </c>
      <c r="C12" t="s">
        <v>2295</v>
      </c>
      <c r="D12">
        <v>270.89999999999998</v>
      </c>
      <c r="G12">
        <v>270.84582</v>
      </c>
      <c r="H12">
        <v>32.463999999999999</v>
      </c>
      <c r="I12">
        <v>0.16297999999999999</v>
      </c>
      <c r="J12">
        <v>32.301020000000001</v>
      </c>
      <c r="K12">
        <v>270.57195310353853</v>
      </c>
      <c r="L12" s="39">
        <v>99.898884577040377</v>
      </c>
      <c r="M12">
        <v>269.19309673605329</v>
      </c>
      <c r="N12">
        <v>99.389791851339368</v>
      </c>
      <c r="O12">
        <v>128</v>
      </c>
      <c r="P12">
        <v>41.7</v>
      </c>
      <c r="Q12">
        <v>100</v>
      </c>
      <c r="R12">
        <v>3</v>
      </c>
      <c r="S12" t="s">
        <v>26</v>
      </c>
      <c r="T12" t="s">
        <v>26</v>
      </c>
      <c r="X12" s="100">
        <f t="shared" si="0"/>
        <v>224.48565940409648</v>
      </c>
      <c r="Y12" s="100">
        <f t="shared" si="1"/>
        <v>4.3174165892160739</v>
      </c>
      <c r="AC12">
        <v>2021</v>
      </c>
      <c r="AD12" t="s">
        <v>43</v>
      </c>
      <c r="AE12">
        <v>5</v>
      </c>
      <c r="AF12">
        <f t="shared" ref="AF12:AF14" si="2">L26</f>
        <v>69.320550402314936</v>
      </c>
      <c r="AJ12" s="2"/>
      <c r="AK12" s="2"/>
    </row>
    <row r="13" spans="1:39" ht="15.5">
      <c r="A13" s="124">
        <v>44804</v>
      </c>
      <c r="B13">
        <v>5</v>
      </c>
      <c r="C13" t="s">
        <v>2296</v>
      </c>
      <c r="D13">
        <v>1261.4000000000001</v>
      </c>
      <c r="G13">
        <v>1261.1477200000002</v>
      </c>
      <c r="H13">
        <v>151.1086</v>
      </c>
      <c r="I13">
        <v>0.16297999999999999</v>
      </c>
      <c r="J13">
        <v>150.94561999999999</v>
      </c>
      <c r="K13">
        <v>1270.0521340516498</v>
      </c>
      <c r="L13" s="39">
        <v>100.70605638898904</v>
      </c>
      <c r="M13">
        <v>1257.9639555203996</v>
      </c>
      <c r="N13">
        <v>99.747550233084468</v>
      </c>
      <c r="O13">
        <v>128</v>
      </c>
      <c r="P13">
        <v>41.7</v>
      </c>
      <c r="Q13">
        <v>100</v>
      </c>
      <c r="R13">
        <v>3</v>
      </c>
      <c r="S13" t="s">
        <v>26</v>
      </c>
      <c r="T13" t="s">
        <v>26</v>
      </c>
      <c r="X13" s="100">
        <f t="shared" si="0"/>
        <v>360.27161809518304</v>
      </c>
      <c r="Y13" s="100">
        <f t="shared" si="1"/>
        <v>12.343263505617021</v>
      </c>
      <c r="AA13" s="68" t="s">
        <v>2348</v>
      </c>
      <c r="AC13">
        <v>2021</v>
      </c>
      <c r="AD13" t="s">
        <v>43</v>
      </c>
      <c r="AE13">
        <v>6</v>
      </c>
      <c r="AF13">
        <f t="shared" si="2"/>
        <v>65.517171440981187</v>
      </c>
      <c r="AJ13" s="2"/>
      <c r="AK13" s="68" t="s">
        <v>2352</v>
      </c>
    </row>
    <row r="14" spans="1:39" ht="15.5">
      <c r="A14" s="124">
        <v>44804</v>
      </c>
      <c r="B14">
        <v>6</v>
      </c>
      <c r="C14" t="s">
        <v>2297</v>
      </c>
      <c r="D14">
        <v>1876.9</v>
      </c>
      <c r="G14">
        <v>1876.5246200000001</v>
      </c>
      <c r="H14">
        <v>222.57079999999999</v>
      </c>
      <c r="I14">
        <v>0.16297999999999999</v>
      </c>
      <c r="J14">
        <v>222.40781999999999</v>
      </c>
      <c r="K14">
        <v>1872.0605911322934</v>
      </c>
      <c r="L14" s="39">
        <v>99.762111894502794</v>
      </c>
      <c r="M14">
        <v>1853.5219570191507</v>
      </c>
      <c r="N14">
        <v>98.774188052973727</v>
      </c>
      <c r="O14">
        <v>128</v>
      </c>
      <c r="P14">
        <v>41.7</v>
      </c>
      <c r="Q14">
        <v>100</v>
      </c>
      <c r="R14">
        <v>3</v>
      </c>
      <c r="S14" t="s">
        <v>26</v>
      </c>
      <c r="T14" t="s">
        <v>26</v>
      </c>
      <c r="Y14" s="268">
        <f>SQRT(SUM(Y9:Y13)/(6-2))</f>
        <v>2.1493197336279013</v>
      </c>
      <c r="Z14" s="270" t="s">
        <v>2353</v>
      </c>
      <c r="AA14" s="326">
        <f>(Y14/$AK$15)*100</f>
        <v>1.0800392213402661</v>
      </c>
      <c r="AC14">
        <v>2021</v>
      </c>
      <c r="AD14" t="s">
        <v>43</v>
      </c>
      <c r="AE14">
        <v>7</v>
      </c>
      <c r="AF14">
        <f t="shared" si="2"/>
        <v>65.66783502200586</v>
      </c>
      <c r="AJ14" s="2"/>
      <c r="AK14" s="2"/>
    </row>
    <row r="15" spans="1:39" ht="15.5">
      <c r="A15" s="124">
        <v>44804</v>
      </c>
      <c r="B15">
        <v>7</v>
      </c>
      <c r="C15" t="s">
        <v>2298</v>
      </c>
      <c r="D15">
        <v>3017.8</v>
      </c>
      <c r="G15">
        <v>3017.1964400000002</v>
      </c>
      <c r="H15">
        <v>356.92129999999997</v>
      </c>
      <c r="I15">
        <v>0.16297999999999999</v>
      </c>
      <c r="J15">
        <v>356.75831999999997</v>
      </c>
      <c r="K15">
        <v>3003.8496658181134</v>
      </c>
      <c r="L15" s="39">
        <v>99.557643181433463</v>
      </c>
      <c r="M15">
        <v>2973.1840340383014</v>
      </c>
      <c r="N15">
        <v>98.541281390292937</v>
      </c>
      <c r="O15">
        <v>128</v>
      </c>
      <c r="P15">
        <v>41.7</v>
      </c>
      <c r="Q15">
        <v>100</v>
      </c>
      <c r="R15">
        <v>3</v>
      </c>
      <c r="S15" t="s">
        <v>26</v>
      </c>
      <c r="T15" t="s">
        <v>26</v>
      </c>
      <c r="Y15" s="268">
        <f>(Y14/12.01)*100.09</f>
        <v>17.912190852524283</v>
      </c>
      <c r="Z15" s="270" t="s">
        <v>2354</v>
      </c>
      <c r="AC15">
        <v>2021</v>
      </c>
      <c r="AD15" t="s">
        <v>43</v>
      </c>
      <c r="AE15">
        <v>8</v>
      </c>
      <c r="AF15">
        <f>L31</f>
        <v>63.806344296063763</v>
      </c>
      <c r="AJ15" s="68" t="s">
        <v>2349</v>
      </c>
      <c r="AK15" s="16">
        <f>AVERAGE(J23:J29,J31:J37,J62:J68,J70:J76,J99:J105,J107:J113,J136:J142,J144:J150,J170:J175,J178:J183)</f>
        <v>199.00385941176469</v>
      </c>
    </row>
    <row r="16" spans="1:39" ht="15.5">
      <c r="A16" s="124">
        <v>44804</v>
      </c>
      <c r="B16">
        <v>8</v>
      </c>
      <c r="C16" t="s">
        <v>2299</v>
      </c>
      <c r="D16">
        <v>4013.1</v>
      </c>
      <c r="G16">
        <v>4012.29738</v>
      </c>
      <c r="H16">
        <v>477.7396</v>
      </c>
      <c r="I16">
        <v>0.16297999999999999</v>
      </c>
      <c r="J16">
        <v>477.57661999999999</v>
      </c>
      <c r="K16">
        <v>4021.6414266386078</v>
      </c>
      <c r="L16" s="39">
        <v>100.23288519652569</v>
      </c>
      <c r="M16">
        <v>3980.070266094921</v>
      </c>
      <c r="N16">
        <v>99.196791492432226</v>
      </c>
      <c r="O16">
        <v>128</v>
      </c>
      <c r="P16">
        <v>41.7</v>
      </c>
      <c r="Q16">
        <v>100</v>
      </c>
      <c r="R16">
        <v>3</v>
      </c>
      <c r="S16" t="s">
        <v>26</v>
      </c>
      <c r="T16" t="s">
        <v>26</v>
      </c>
      <c r="AC16">
        <v>2021</v>
      </c>
      <c r="AD16" t="s">
        <v>43</v>
      </c>
      <c r="AE16">
        <v>9</v>
      </c>
      <c r="AF16">
        <f>L33</f>
        <v>65.736349840707874</v>
      </c>
      <c r="AJ16" s="68" t="s">
        <v>2037</v>
      </c>
      <c r="AK16" s="2">
        <f>_xlfn.STDEV.P(J23:J29,J31:J37,J62:J68,J70:J76,J99:J105,J107:J113,J136:J142,J144:J150,J170:J175,J178:J183)</f>
        <v>42.774701848046654</v>
      </c>
    </row>
    <row r="17" spans="1:37" ht="15.5">
      <c r="A17" s="124">
        <v>44804</v>
      </c>
      <c r="B17">
        <v>9</v>
      </c>
      <c r="C17" t="s">
        <v>2300</v>
      </c>
      <c r="H17">
        <v>0.4178</v>
      </c>
      <c r="I17">
        <v>0.16297999999999999</v>
      </c>
      <c r="J17">
        <v>0.25482000000000005</v>
      </c>
      <c r="O17">
        <v>128</v>
      </c>
      <c r="P17">
        <v>41.7</v>
      </c>
      <c r="Q17">
        <v>100</v>
      </c>
      <c r="R17">
        <v>3</v>
      </c>
      <c r="S17" t="s">
        <v>26</v>
      </c>
      <c r="T17" t="s">
        <v>26</v>
      </c>
      <c r="AC17">
        <v>2021</v>
      </c>
      <c r="AD17" t="s">
        <v>43</v>
      </c>
      <c r="AE17">
        <v>10</v>
      </c>
      <c r="AF17">
        <f>L34</f>
        <v>64.732972644842263</v>
      </c>
      <c r="AJ17" s="68" t="s">
        <v>2351</v>
      </c>
      <c r="AK17" s="2">
        <f>COUNT(J23:J29,J31:J37,J62:J68,J70:J76,J99:J105,J107:J113,J136:J142,J144:J150,J170:J175,J178:J183)</f>
        <v>68</v>
      </c>
    </row>
    <row r="18" spans="1:37">
      <c r="A18" s="124">
        <v>44804</v>
      </c>
      <c r="B18">
        <v>10</v>
      </c>
      <c r="C18" t="s">
        <v>2301</v>
      </c>
      <c r="H18">
        <v>0.22620000000000001</v>
      </c>
      <c r="I18">
        <v>0.16297999999999999</v>
      </c>
      <c r="J18">
        <v>6.3220000000000026E-2</v>
      </c>
      <c r="O18">
        <v>128</v>
      </c>
      <c r="P18">
        <v>41.7</v>
      </c>
      <c r="Q18">
        <v>100</v>
      </c>
      <c r="R18">
        <v>3</v>
      </c>
      <c r="S18" t="s">
        <v>26</v>
      </c>
      <c r="T18" t="s">
        <v>26</v>
      </c>
      <c r="AC18">
        <v>2021</v>
      </c>
      <c r="AD18" t="s">
        <v>43</v>
      </c>
      <c r="AE18">
        <v>11</v>
      </c>
      <c r="AF18">
        <f>L35</f>
        <v>70.426733387976356</v>
      </c>
    </row>
    <row r="19" spans="1:37">
      <c r="A19" s="124">
        <v>44804</v>
      </c>
      <c r="B19">
        <v>11</v>
      </c>
      <c r="C19" t="s">
        <v>2302</v>
      </c>
      <c r="D19">
        <v>1034.4000000000001</v>
      </c>
      <c r="H19">
        <v>15.0106</v>
      </c>
      <c r="I19">
        <v>0.16297999999999999</v>
      </c>
      <c r="J19">
        <v>14.847620000000001</v>
      </c>
      <c r="K19">
        <v>123.54185320721147</v>
      </c>
      <c r="L19" s="39">
        <v>11.943334610132586</v>
      </c>
      <c r="M19">
        <v>123.7384084762698</v>
      </c>
      <c r="N19">
        <v>11.962336472957249</v>
      </c>
      <c r="O19">
        <v>128</v>
      </c>
      <c r="P19">
        <v>41.7</v>
      </c>
      <c r="Q19">
        <v>100</v>
      </c>
      <c r="R19">
        <v>3</v>
      </c>
      <c r="S19" t="s">
        <v>26</v>
      </c>
      <c r="T19" t="s">
        <v>26</v>
      </c>
      <c r="AC19">
        <v>2021</v>
      </c>
      <c r="AD19" t="s">
        <v>43</v>
      </c>
      <c r="AE19">
        <v>12</v>
      </c>
      <c r="AF19">
        <f>L36</f>
        <v>70.183909385582183</v>
      </c>
    </row>
    <row r="20" spans="1:37">
      <c r="A20" s="124">
        <v>44804</v>
      </c>
      <c r="B20">
        <v>12</v>
      </c>
      <c r="C20" t="s">
        <v>2302</v>
      </c>
      <c r="D20">
        <v>2402.1999999999998</v>
      </c>
      <c r="H20">
        <v>35.602499999999999</v>
      </c>
      <c r="I20">
        <v>0.16297999999999999</v>
      </c>
      <c r="J20">
        <v>35.439520000000002</v>
      </c>
      <c r="K20">
        <v>297.01115512289425</v>
      </c>
      <c r="L20" s="39">
        <v>12.364131010028069</v>
      </c>
      <c r="M20">
        <v>295.34900556203166</v>
      </c>
      <c r="N20">
        <v>12.294938205063346</v>
      </c>
      <c r="O20">
        <v>128</v>
      </c>
      <c r="P20">
        <v>41.7</v>
      </c>
      <c r="Q20">
        <v>100</v>
      </c>
      <c r="R20">
        <v>3</v>
      </c>
      <c r="S20" t="s">
        <v>26</v>
      </c>
      <c r="T20" t="s">
        <v>26</v>
      </c>
      <c r="AC20">
        <v>2021</v>
      </c>
      <c r="AD20" t="s">
        <v>43</v>
      </c>
      <c r="AE20">
        <v>13</v>
      </c>
      <c r="AF20">
        <f>L37</f>
        <v>70.841903670914732</v>
      </c>
    </row>
    <row r="21" spans="1:37">
      <c r="A21" s="124">
        <v>44804</v>
      </c>
      <c r="B21">
        <v>13</v>
      </c>
      <c r="C21" t="s">
        <v>2303</v>
      </c>
      <c r="H21">
        <v>0.17</v>
      </c>
      <c r="I21">
        <v>0.16297999999999999</v>
      </c>
      <c r="J21">
        <v>7.0200000000000262E-3</v>
      </c>
      <c r="O21">
        <v>128</v>
      </c>
      <c r="P21">
        <v>41.7</v>
      </c>
      <c r="Q21">
        <v>100</v>
      </c>
      <c r="R21">
        <v>3</v>
      </c>
      <c r="S21" t="s">
        <v>26</v>
      </c>
      <c r="T21" t="s">
        <v>26</v>
      </c>
      <c r="AC21">
        <v>2021</v>
      </c>
      <c r="AD21" t="s">
        <v>43</v>
      </c>
      <c r="AE21">
        <v>14</v>
      </c>
      <c r="AF21">
        <f>L62</f>
        <v>67.377102513891231</v>
      </c>
    </row>
    <row r="22" spans="1:37">
      <c r="A22" s="124">
        <v>44804</v>
      </c>
      <c r="B22">
        <v>14</v>
      </c>
      <c r="C22" t="s">
        <v>2304</v>
      </c>
      <c r="H22">
        <v>0.1086</v>
      </c>
      <c r="I22">
        <v>0.16297999999999999</v>
      </c>
      <c r="J22">
        <v>0.16297999999999999</v>
      </c>
      <c r="O22">
        <v>128</v>
      </c>
      <c r="P22">
        <v>41.7</v>
      </c>
      <c r="Q22">
        <v>100</v>
      </c>
      <c r="R22">
        <v>3</v>
      </c>
      <c r="S22" t="s">
        <v>26</v>
      </c>
      <c r="T22" t="s">
        <v>26</v>
      </c>
      <c r="AC22">
        <v>2021</v>
      </c>
      <c r="AD22" t="s">
        <v>43</v>
      </c>
      <c r="AE22">
        <v>15</v>
      </c>
      <c r="AF22">
        <f>L63</f>
        <v>56.313374554336235</v>
      </c>
    </row>
    <row r="23" spans="1:37">
      <c r="A23" s="124">
        <v>44804</v>
      </c>
      <c r="B23">
        <v>15</v>
      </c>
      <c r="C23" t="s">
        <v>2305</v>
      </c>
      <c r="D23">
        <v>2756.1</v>
      </c>
      <c r="H23">
        <v>183.95429999999999</v>
      </c>
      <c r="I23">
        <v>0.16297999999999999</v>
      </c>
      <c r="J23">
        <v>183.79131999999998</v>
      </c>
      <c r="K23">
        <v>1546.7493135218269</v>
      </c>
      <c r="L23" s="39">
        <v>56.120943126948475</v>
      </c>
      <c r="M23">
        <v>1531.6963546044963</v>
      </c>
      <c r="N23">
        <v>55.57477430443366</v>
      </c>
      <c r="O23">
        <v>128</v>
      </c>
      <c r="P23">
        <v>41.7</v>
      </c>
      <c r="Q23">
        <v>100</v>
      </c>
      <c r="R23">
        <v>3</v>
      </c>
      <c r="S23" t="s">
        <v>26</v>
      </c>
      <c r="T23" t="s">
        <v>26</v>
      </c>
      <c r="AC23">
        <v>2021</v>
      </c>
      <c r="AD23" t="s">
        <v>43</v>
      </c>
      <c r="AE23">
        <v>16</v>
      </c>
      <c r="AF23" s="39">
        <f>AVERAGE(L68,L71)</f>
        <v>37.557174270931618</v>
      </c>
      <c r="AG23" s="48" t="s">
        <v>2358</v>
      </c>
      <c r="AH23" s="48">
        <f>((L68-L71)/AVERAGE(L68,L71))*100</f>
        <v>1.0059335676364407</v>
      </c>
    </row>
    <row r="24" spans="1:37">
      <c r="A24" s="124">
        <v>44804</v>
      </c>
      <c r="B24">
        <v>16</v>
      </c>
      <c r="C24" t="s">
        <v>2306</v>
      </c>
      <c r="D24">
        <v>2134.5</v>
      </c>
      <c r="H24">
        <v>170.0455</v>
      </c>
      <c r="I24">
        <v>0.16297999999999999</v>
      </c>
      <c r="J24">
        <v>169.88252</v>
      </c>
      <c r="K24">
        <v>1429.5794638972247</v>
      </c>
      <c r="L24" s="39">
        <v>66.974910466021313</v>
      </c>
      <c r="M24">
        <v>1415.7819672606163</v>
      </c>
      <c r="N24">
        <v>66.328506313451228</v>
      </c>
      <c r="O24">
        <v>128</v>
      </c>
      <c r="P24">
        <v>41.7</v>
      </c>
      <c r="Q24">
        <v>100</v>
      </c>
      <c r="R24">
        <v>3</v>
      </c>
      <c r="S24" t="s">
        <v>26</v>
      </c>
      <c r="T24" t="s">
        <v>26</v>
      </c>
      <c r="AC24">
        <v>2021</v>
      </c>
      <c r="AD24" t="s">
        <v>43</v>
      </c>
      <c r="AE24">
        <v>17</v>
      </c>
      <c r="AF24">
        <f>L64</f>
        <v>42.62105690215796</v>
      </c>
    </row>
    <row r="25" spans="1:37">
      <c r="A25" s="124">
        <v>44804</v>
      </c>
      <c r="B25">
        <v>17</v>
      </c>
      <c r="C25" t="s">
        <v>2307</v>
      </c>
      <c r="D25">
        <v>3195.1</v>
      </c>
      <c r="H25">
        <v>261.23110000000003</v>
      </c>
      <c r="I25">
        <v>0.16297999999999999</v>
      </c>
      <c r="J25">
        <v>261.06812000000002</v>
      </c>
      <c r="K25">
        <v>2197.7408466138604</v>
      </c>
      <c r="L25" s="39">
        <v>68.784728071542688</v>
      </c>
      <c r="M25">
        <v>2175.712583746878</v>
      </c>
      <c r="N25">
        <v>68.095289153606402</v>
      </c>
      <c r="O25">
        <v>128</v>
      </c>
      <c r="P25">
        <v>41.7</v>
      </c>
      <c r="Q25">
        <v>100</v>
      </c>
      <c r="R25">
        <v>3</v>
      </c>
      <c r="S25" t="s">
        <v>26</v>
      </c>
      <c r="T25" t="s">
        <v>26</v>
      </c>
      <c r="AC25">
        <v>2021</v>
      </c>
      <c r="AD25" t="s">
        <v>43</v>
      </c>
      <c r="AE25">
        <v>18</v>
      </c>
      <c r="AF25">
        <f>L65</f>
        <v>47.74398125145629</v>
      </c>
    </row>
    <row r="26" spans="1:37">
      <c r="A26" s="124">
        <v>44804</v>
      </c>
      <c r="B26">
        <v>18</v>
      </c>
      <c r="C26" t="s">
        <v>2308</v>
      </c>
      <c r="D26">
        <v>2018.3</v>
      </c>
      <c r="H26">
        <v>166.42699999999999</v>
      </c>
      <c r="I26">
        <v>0.16297999999999999</v>
      </c>
      <c r="J26">
        <v>166.26401999999999</v>
      </c>
      <c r="K26">
        <v>1399.0966687699224</v>
      </c>
      <c r="L26" s="39">
        <v>69.320550402314936</v>
      </c>
      <c r="M26">
        <v>1385.6257919900083</v>
      </c>
      <c r="N26">
        <v>68.653113609969211</v>
      </c>
      <c r="O26">
        <v>128</v>
      </c>
      <c r="P26">
        <v>41.7</v>
      </c>
      <c r="Q26">
        <v>100</v>
      </c>
      <c r="R26">
        <v>3</v>
      </c>
      <c r="S26" t="s">
        <v>26</v>
      </c>
      <c r="T26" t="s">
        <v>26</v>
      </c>
      <c r="AC26">
        <v>2021</v>
      </c>
      <c r="AD26" t="s">
        <v>43</v>
      </c>
      <c r="AE26">
        <v>19</v>
      </c>
      <c r="AF26">
        <f>L66</f>
        <v>56.061492699040805</v>
      </c>
    </row>
    <row r="27" spans="1:37">
      <c r="A27" s="124">
        <v>44804</v>
      </c>
      <c r="B27">
        <v>19</v>
      </c>
      <c r="C27" t="s">
        <v>2309</v>
      </c>
      <c r="D27">
        <v>3098</v>
      </c>
      <c r="H27">
        <v>241.28620000000001</v>
      </c>
      <c r="I27">
        <v>0.16297999999999999</v>
      </c>
      <c r="J27">
        <v>241.12322</v>
      </c>
      <c r="K27">
        <v>2029.7219712415972</v>
      </c>
      <c r="L27" s="39">
        <v>65.517171440981187</v>
      </c>
      <c r="M27">
        <v>2009.4940124729394</v>
      </c>
      <c r="N27">
        <v>64.864235392928975</v>
      </c>
      <c r="O27">
        <v>128</v>
      </c>
      <c r="P27">
        <v>41.7</v>
      </c>
      <c r="Q27">
        <v>100</v>
      </c>
      <c r="R27">
        <v>3</v>
      </c>
      <c r="S27" t="s">
        <v>26</v>
      </c>
      <c r="T27" t="s">
        <v>26</v>
      </c>
      <c r="AC27">
        <v>2021</v>
      </c>
      <c r="AD27" t="s">
        <v>43</v>
      </c>
      <c r="AE27">
        <v>20</v>
      </c>
      <c r="AF27">
        <f>L67</f>
        <v>59.674762426616525</v>
      </c>
    </row>
    <row r="28" spans="1:37">
      <c r="A28" s="124">
        <v>44804</v>
      </c>
      <c r="B28">
        <v>20</v>
      </c>
      <c r="C28" t="s">
        <v>2310</v>
      </c>
      <c r="D28">
        <v>3055.8</v>
      </c>
      <c r="H28">
        <v>238.55070000000001</v>
      </c>
      <c r="I28">
        <v>0.16297999999999999</v>
      </c>
      <c r="J28">
        <v>238.38772</v>
      </c>
      <c r="K28">
        <v>2006.6777026024552</v>
      </c>
      <c r="L28" s="39">
        <v>65.66783502200586</v>
      </c>
      <c r="M28">
        <v>1986.6966606827646</v>
      </c>
      <c r="N28">
        <v>65.013962323540952</v>
      </c>
      <c r="O28">
        <v>128</v>
      </c>
      <c r="P28">
        <v>41.7</v>
      </c>
      <c r="Q28">
        <v>100</v>
      </c>
      <c r="R28">
        <v>3</v>
      </c>
      <c r="S28" t="s">
        <v>26</v>
      </c>
      <c r="T28" t="s">
        <v>26</v>
      </c>
      <c r="AC28">
        <v>2021</v>
      </c>
      <c r="AD28" t="s">
        <v>43</v>
      </c>
      <c r="AE28">
        <v>21</v>
      </c>
      <c r="AF28">
        <f>L70</f>
        <v>56.73544332240391</v>
      </c>
    </row>
    <row r="29" spans="1:37">
      <c r="A29" s="124">
        <v>44804</v>
      </c>
      <c r="B29">
        <v>21</v>
      </c>
      <c r="C29" t="s">
        <v>2311</v>
      </c>
      <c r="D29">
        <v>2314.1</v>
      </c>
      <c r="H29">
        <v>177.98009999999999</v>
      </c>
      <c r="I29">
        <v>0.16297999999999999</v>
      </c>
      <c r="J29">
        <v>177.81711999999999</v>
      </c>
      <c r="K29">
        <v>1496.4217428020454</v>
      </c>
      <c r="L29" s="39">
        <v>64.66538796085068</v>
      </c>
      <c r="M29">
        <v>1481.9080383680266</v>
      </c>
      <c r="N29">
        <v>64.0382022543549</v>
      </c>
      <c r="O29">
        <v>128</v>
      </c>
      <c r="P29">
        <v>41.7</v>
      </c>
      <c r="Q29">
        <v>100</v>
      </c>
      <c r="R29">
        <v>3</v>
      </c>
      <c r="S29" t="s">
        <v>26</v>
      </c>
      <c r="T29" t="s">
        <v>26</v>
      </c>
      <c r="AC29">
        <v>2021</v>
      </c>
      <c r="AD29" t="s">
        <v>46</v>
      </c>
      <c r="AE29">
        <v>1</v>
      </c>
      <c r="AF29" s="39">
        <f>AVERAGE(L105,L108)</f>
        <v>65.628843420356105</v>
      </c>
      <c r="AG29" s="48" t="s">
        <v>2358</v>
      </c>
      <c r="AH29" s="48">
        <f>((L105-L108)/AVERAGE(L105,L108))*100</f>
        <v>0.959953326405245</v>
      </c>
    </row>
    <row r="30" spans="1:37">
      <c r="A30" s="124">
        <v>44804</v>
      </c>
      <c r="B30">
        <v>22</v>
      </c>
      <c r="C30" t="s">
        <v>2312</v>
      </c>
      <c r="H30">
        <v>0.32200000000000001</v>
      </c>
      <c r="I30">
        <v>0.16297999999999999</v>
      </c>
      <c r="J30">
        <v>0.15902000000000002</v>
      </c>
      <c r="O30">
        <v>128</v>
      </c>
      <c r="P30">
        <v>41.7</v>
      </c>
      <c r="Q30">
        <v>100</v>
      </c>
      <c r="R30">
        <v>3</v>
      </c>
      <c r="S30" t="s">
        <v>26</v>
      </c>
      <c r="T30" t="s">
        <v>26</v>
      </c>
      <c r="AC30">
        <v>2021</v>
      </c>
      <c r="AD30" t="s">
        <v>46</v>
      </c>
      <c r="AE30">
        <v>2</v>
      </c>
      <c r="AF30">
        <f>L72</f>
        <v>70.075846869540342</v>
      </c>
    </row>
    <row r="31" spans="1:37">
      <c r="A31" s="124">
        <v>44804</v>
      </c>
      <c r="B31">
        <v>23</v>
      </c>
      <c r="C31" t="s">
        <v>2313</v>
      </c>
      <c r="D31">
        <v>2833.1</v>
      </c>
      <c r="H31">
        <v>214.93049999999999</v>
      </c>
      <c r="I31">
        <v>0.16297999999999999</v>
      </c>
      <c r="J31">
        <v>214.76751999999999</v>
      </c>
      <c r="K31">
        <v>1807.6975402517826</v>
      </c>
      <c r="L31" s="39">
        <v>63.806344296063763</v>
      </c>
      <c r="M31">
        <v>1789.8485492756038</v>
      </c>
      <c r="N31">
        <v>63.176328024976307</v>
      </c>
      <c r="O31">
        <v>128</v>
      </c>
      <c r="P31">
        <v>41.7</v>
      </c>
      <c r="Q31">
        <v>100</v>
      </c>
      <c r="R31">
        <v>3</v>
      </c>
      <c r="S31" t="s">
        <v>26</v>
      </c>
      <c r="T31" t="s">
        <v>26</v>
      </c>
      <c r="AC31">
        <v>2021</v>
      </c>
      <c r="AD31" t="s">
        <v>46</v>
      </c>
      <c r="AE31">
        <v>3</v>
      </c>
      <c r="AF31">
        <f>L73</f>
        <v>70.073750509862307</v>
      </c>
    </row>
    <row r="32" spans="1:37">
      <c r="A32" s="124">
        <v>44804</v>
      </c>
      <c r="B32">
        <v>24</v>
      </c>
      <c r="C32" t="s">
        <v>2314</v>
      </c>
      <c r="D32">
        <v>3123.2</v>
      </c>
      <c r="H32">
        <v>242.4776</v>
      </c>
      <c r="I32">
        <v>0.16297999999999999</v>
      </c>
      <c r="J32">
        <v>242.31461999999999</v>
      </c>
      <c r="K32">
        <v>2039.7585063016131</v>
      </c>
      <c r="L32" s="39">
        <v>65.309890698694076</v>
      </c>
      <c r="M32">
        <v>2019.4230071440468</v>
      </c>
      <c r="N32">
        <v>64.658779685708467</v>
      </c>
      <c r="O32">
        <v>128</v>
      </c>
      <c r="P32">
        <v>41.7</v>
      </c>
      <c r="Q32">
        <v>100</v>
      </c>
      <c r="R32">
        <v>3</v>
      </c>
      <c r="S32" t="s">
        <v>26</v>
      </c>
      <c r="T32" t="s">
        <v>26</v>
      </c>
      <c r="AC32">
        <v>2021</v>
      </c>
      <c r="AD32" t="s">
        <v>46</v>
      </c>
      <c r="AE32">
        <v>4</v>
      </c>
      <c r="AF32">
        <f>L74</f>
        <v>69.941262409563237</v>
      </c>
    </row>
    <row r="33" spans="1:34">
      <c r="A33" s="124">
        <v>44804</v>
      </c>
      <c r="B33">
        <v>25</v>
      </c>
      <c r="C33" t="s">
        <v>2315</v>
      </c>
      <c r="D33">
        <v>2955.4</v>
      </c>
      <c r="H33">
        <v>230.96469999999999</v>
      </c>
      <c r="I33">
        <v>0.16297999999999999</v>
      </c>
      <c r="J33">
        <v>230.80171999999999</v>
      </c>
      <c r="K33">
        <v>1942.7720831922807</v>
      </c>
      <c r="L33" s="39">
        <v>65.736349840707874</v>
      </c>
      <c r="M33">
        <v>1923.475783080766</v>
      </c>
      <c r="N33">
        <v>65.083433142070987</v>
      </c>
      <c r="O33">
        <v>128</v>
      </c>
      <c r="P33">
        <v>41.7</v>
      </c>
      <c r="Q33">
        <v>100</v>
      </c>
      <c r="R33">
        <v>3</v>
      </c>
      <c r="S33" t="s">
        <v>26</v>
      </c>
      <c r="T33" t="s">
        <v>26</v>
      </c>
      <c r="AC33">
        <v>2021</v>
      </c>
      <c r="AD33" t="s">
        <v>46</v>
      </c>
      <c r="AE33">
        <v>5</v>
      </c>
      <c r="AF33">
        <f>L75</f>
        <v>70.257354756557206</v>
      </c>
    </row>
    <row r="34" spans="1:34">
      <c r="A34" s="124">
        <v>44804</v>
      </c>
      <c r="B34">
        <v>26</v>
      </c>
      <c r="C34" t="s">
        <v>2316</v>
      </c>
      <c r="D34">
        <v>2573.5</v>
      </c>
      <c r="H34">
        <v>198.0986</v>
      </c>
      <c r="I34">
        <v>0.16297999999999999</v>
      </c>
      <c r="J34">
        <v>197.93562</v>
      </c>
      <c r="K34">
        <v>1665.9030510150158</v>
      </c>
      <c r="L34" s="39">
        <v>64.732972644842263</v>
      </c>
      <c r="M34">
        <v>1649.5733726727726</v>
      </c>
      <c r="N34">
        <v>64.098440748893438</v>
      </c>
      <c r="O34">
        <v>128</v>
      </c>
      <c r="P34">
        <v>41.7</v>
      </c>
      <c r="Q34">
        <v>100</v>
      </c>
      <c r="R34">
        <v>3</v>
      </c>
      <c r="S34" t="s">
        <v>26</v>
      </c>
      <c r="T34" t="s">
        <v>26</v>
      </c>
      <c r="AC34">
        <v>2021</v>
      </c>
      <c r="AD34" t="s">
        <v>46</v>
      </c>
      <c r="AE34">
        <v>6</v>
      </c>
      <c r="AF34">
        <f>L76</f>
        <v>71.906472970856171</v>
      </c>
    </row>
    <row r="35" spans="1:34">
      <c r="A35" s="124">
        <v>44804</v>
      </c>
      <c r="B35">
        <v>27</v>
      </c>
      <c r="C35" t="s">
        <v>2317</v>
      </c>
      <c r="D35">
        <v>2482.8000000000002</v>
      </c>
      <c r="H35">
        <v>207.90989999999999</v>
      </c>
      <c r="I35">
        <v>0.16297999999999999</v>
      </c>
      <c r="J35">
        <v>207.74691999999999</v>
      </c>
      <c r="K35">
        <v>1748.5549365566771</v>
      </c>
      <c r="L35" s="39">
        <v>70.426733387976356</v>
      </c>
      <c r="M35">
        <v>1731.3396521898419</v>
      </c>
      <c r="N35">
        <v>69.733351546231745</v>
      </c>
      <c r="O35">
        <v>128</v>
      </c>
      <c r="P35">
        <v>41.7</v>
      </c>
      <c r="Q35">
        <v>100</v>
      </c>
      <c r="R35">
        <v>3</v>
      </c>
      <c r="S35" t="s">
        <v>26</v>
      </c>
      <c r="T35" t="s">
        <v>26</v>
      </c>
      <c r="AC35">
        <v>2021</v>
      </c>
      <c r="AD35" t="s">
        <v>46</v>
      </c>
      <c r="AE35">
        <v>7</v>
      </c>
      <c r="AF35">
        <f>L99</f>
        <v>68.411802083429365</v>
      </c>
    </row>
    <row r="36" spans="1:34">
      <c r="A36" s="124">
        <v>44804</v>
      </c>
      <c r="B36">
        <v>28</v>
      </c>
      <c r="C36" t="s">
        <v>2318</v>
      </c>
      <c r="D36">
        <v>3165.7</v>
      </c>
      <c r="H36">
        <v>264.08850000000001</v>
      </c>
      <c r="I36">
        <v>0.16297999999999999</v>
      </c>
      <c r="J36">
        <v>263.92552000000001</v>
      </c>
      <c r="K36">
        <v>2221.8120194193748</v>
      </c>
      <c r="L36" s="39">
        <v>70.183909385582183</v>
      </c>
      <c r="M36">
        <v>2199.5258365362201</v>
      </c>
      <c r="N36">
        <v>69.479920287336782</v>
      </c>
      <c r="O36">
        <v>128</v>
      </c>
      <c r="P36">
        <v>41.7</v>
      </c>
      <c r="Q36">
        <v>100</v>
      </c>
      <c r="R36">
        <v>3</v>
      </c>
      <c r="S36" t="s">
        <v>26</v>
      </c>
      <c r="T36" t="s">
        <v>26</v>
      </c>
      <c r="AC36">
        <v>2021</v>
      </c>
      <c r="AD36" t="s">
        <v>46</v>
      </c>
      <c r="AE36">
        <v>8</v>
      </c>
      <c r="AF36">
        <f t="shared" ref="AF36:AF40" si="3">L100</f>
        <v>71.026493505621474</v>
      </c>
    </row>
    <row r="37" spans="1:34">
      <c r="A37" s="124">
        <v>44804</v>
      </c>
      <c r="B37">
        <v>29</v>
      </c>
      <c r="C37" t="s">
        <v>2319</v>
      </c>
      <c r="D37">
        <v>2257.8000000000002</v>
      </c>
      <c r="H37">
        <v>190.2124</v>
      </c>
      <c r="I37">
        <v>0.16297999999999999</v>
      </c>
      <c r="J37">
        <v>190.04942</v>
      </c>
      <c r="K37">
        <v>1599.468501081913</v>
      </c>
      <c r="L37" s="39">
        <v>70.841903670914732</v>
      </c>
      <c r="M37">
        <v>1583.8506617651956</v>
      </c>
      <c r="N37">
        <v>70.150175470156583</v>
      </c>
      <c r="O37">
        <v>128</v>
      </c>
      <c r="P37">
        <v>41.7</v>
      </c>
      <c r="Q37">
        <v>100</v>
      </c>
      <c r="R37">
        <v>3</v>
      </c>
      <c r="S37" t="s">
        <v>26</v>
      </c>
      <c r="T37" t="s">
        <v>26</v>
      </c>
      <c r="AC37">
        <v>2021</v>
      </c>
      <c r="AD37" t="s">
        <v>46</v>
      </c>
      <c r="AE37">
        <v>9</v>
      </c>
      <c r="AF37">
        <f t="shared" si="3"/>
        <v>70.264190434620446</v>
      </c>
    </row>
    <row r="38" spans="1:34">
      <c r="A38" s="124">
        <v>44804</v>
      </c>
      <c r="B38">
        <v>30</v>
      </c>
      <c r="C38" t="s">
        <v>2320</v>
      </c>
      <c r="H38">
        <v>0</v>
      </c>
      <c r="I38">
        <v>0.16297999999999999</v>
      </c>
      <c r="J38">
        <v>-0.16297999999999999</v>
      </c>
      <c r="O38">
        <v>128</v>
      </c>
      <c r="P38">
        <v>41.7</v>
      </c>
      <c r="Q38">
        <v>100</v>
      </c>
      <c r="R38">
        <v>3</v>
      </c>
      <c r="S38" t="s">
        <v>26</v>
      </c>
      <c r="T38" t="s">
        <v>26</v>
      </c>
      <c r="AC38">
        <v>2021</v>
      </c>
      <c r="AD38" t="s">
        <v>46</v>
      </c>
      <c r="AE38">
        <v>10</v>
      </c>
      <c r="AF38">
        <f t="shared" si="3"/>
        <v>65.585953679618768</v>
      </c>
    </row>
    <row r="39" spans="1:34">
      <c r="A39" s="124">
        <v>44804</v>
      </c>
      <c r="B39">
        <v>31</v>
      </c>
      <c r="C39" t="s">
        <v>2321</v>
      </c>
      <c r="D39">
        <v>2629.8</v>
      </c>
      <c r="G39">
        <v>2629.2740400000002</v>
      </c>
      <c r="H39">
        <v>312.24299999999999</v>
      </c>
      <c r="I39">
        <v>0.16297999999999999</v>
      </c>
      <c r="J39">
        <v>312.08001999999999</v>
      </c>
      <c r="K39">
        <v>2627.4728617456653</v>
      </c>
      <c r="L39" s="39">
        <v>99.931495225414579</v>
      </c>
      <c r="M39">
        <v>2600.8400667610326</v>
      </c>
      <c r="N39">
        <v>98.918561823286865</v>
      </c>
      <c r="O39">
        <v>128</v>
      </c>
      <c r="P39">
        <v>41.7</v>
      </c>
      <c r="Q39">
        <v>100</v>
      </c>
      <c r="R39">
        <v>3</v>
      </c>
      <c r="S39" t="s">
        <v>26</v>
      </c>
      <c r="T39" t="s">
        <v>26</v>
      </c>
      <c r="AC39">
        <v>2021</v>
      </c>
      <c r="AD39" t="s">
        <v>46</v>
      </c>
      <c r="AE39">
        <v>11</v>
      </c>
      <c r="AF39">
        <f t="shared" si="3"/>
        <v>71.95002637283919</v>
      </c>
    </row>
    <row r="40" spans="1:34">
      <c r="A40" s="124">
        <v>44804</v>
      </c>
      <c r="B40">
        <v>32</v>
      </c>
      <c r="C40" t="s">
        <v>2322</v>
      </c>
      <c r="H40">
        <v>0.1802</v>
      </c>
      <c r="I40">
        <v>0.16297999999999999</v>
      </c>
      <c r="J40">
        <v>1.7220000000000013E-2</v>
      </c>
      <c r="O40">
        <v>128</v>
      </c>
      <c r="P40">
        <v>41.7</v>
      </c>
      <c r="Q40">
        <v>100</v>
      </c>
      <c r="R40">
        <v>3</v>
      </c>
      <c r="S40" t="s">
        <v>26</v>
      </c>
      <c r="T40" t="s">
        <v>26</v>
      </c>
      <c r="AC40">
        <v>2021</v>
      </c>
      <c r="AD40" t="s">
        <v>46</v>
      </c>
      <c r="AE40">
        <v>12</v>
      </c>
      <c r="AF40">
        <f t="shared" si="3"/>
        <v>71.920992794736691</v>
      </c>
    </row>
    <row r="41" spans="1:34">
      <c r="AC41">
        <v>2021</v>
      </c>
      <c r="AD41" t="s">
        <v>46</v>
      </c>
      <c r="AE41">
        <v>13</v>
      </c>
      <c r="AF41">
        <f>L107</f>
        <v>73.245491660516976</v>
      </c>
    </row>
    <row r="42" spans="1:34">
      <c r="AC42">
        <v>2021</v>
      </c>
      <c r="AD42" t="s">
        <v>46</v>
      </c>
      <c r="AE42">
        <v>14</v>
      </c>
      <c r="AF42">
        <f>L109</f>
        <v>71.321726370593183</v>
      </c>
    </row>
    <row r="43" spans="1:34">
      <c r="AC43">
        <v>2021</v>
      </c>
      <c r="AD43" t="s">
        <v>46</v>
      </c>
      <c r="AE43">
        <v>15</v>
      </c>
      <c r="AF43">
        <f>L110</f>
        <v>62.153693182149141</v>
      </c>
    </row>
    <row r="44" spans="1:34">
      <c r="A44" t="s">
        <v>2323</v>
      </c>
      <c r="AC44">
        <v>2021</v>
      </c>
      <c r="AD44" t="s">
        <v>46</v>
      </c>
      <c r="AE44">
        <v>16</v>
      </c>
      <c r="AF44">
        <f>L111</f>
        <v>45.86546712304547</v>
      </c>
    </row>
    <row r="45" spans="1:34">
      <c r="A45" t="s">
        <v>2290</v>
      </c>
      <c r="AC45">
        <v>2021</v>
      </c>
      <c r="AD45" t="s">
        <v>46</v>
      </c>
      <c r="AE45">
        <v>17</v>
      </c>
      <c r="AF45" s="39">
        <f>AVERAGE(L142,L145)</f>
        <v>47.520875354083962</v>
      </c>
      <c r="AG45" s="48" t="s">
        <v>2358</v>
      </c>
      <c r="AH45" s="48">
        <f>((L142-L145)/AVERAGE(L142,L145))*100</f>
        <v>-1.3612047084317267</v>
      </c>
    </row>
    <row r="46" spans="1:34">
      <c r="A46" t="s">
        <v>2324</v>
      </c>
      <c r="AC46">
        <v>2021</v>
      </c>
      <c r="AD46" t="s">
        <v>46</v>
      </c>
      <c r="AE46">
        <v>18</v>
      </c>
      <c r="AF46">
        <f>L112</f>
        <v>51.782964065476811</v>
      </c>
    </row>
    <row r="47" spans="1:34">
      <c r="A47" t="s">
        <v>2325</v>
      </c>
      <c r="X47" s="327">
        <f>A48</f>
        <v>44805</v>
      </c>
      <c r="Y47" s="59"/>
      <c r="Z47" s="59"/>
      <c r="AA47" s="59"/>
      <c r="AC47">
        <v>2021</v>
      </c>
      <c r="AD47" t="s">
        <v>46</v>
      </c>
      <c r="AE47">
        <v>19</v>
      </c>
      <c r="AF47">
        <f>L113</f>
        <v>59.882213227238921</v>
      </c>
    </row>
    <row r="48" spans="1:34">
      <c r="A48" s="124">
        <v>44805</v>
      </c>
      <c r="B48">
        <v>1</v>
      </c>
      <c r="C48" t="s">
        <v>2292</v>
      </c>
      <c r="H48">
        <v>0.2321</v>
      </c>
      <c r="X48" s="261">
        <f>((J50-INDEX(LINEST($H$50:$H$55,$G$50:$G$55),2))/INDEX(LINEST($H$50:$H$55,$G$50:$G$55),1)/100.09)*12.01</f>
        <v>-0.58553128188818382</v>
      </c>
      <c r="Y48" s="261">
        <f>(J50-X48)^2</f>
        <v>0.71507535238221531</v>
      </c>
      <c r="Z48" s="59"/>
      <c r="AA48" s="59"/>
      <c r="AC48">
        <v>2021</v>
      </c>
      <c r="AD48" t="s">
        <v>46</v>
      </c>
      <c r="AE48">
        <v>20</v>
      </c>
      <c r="AF48">
        <f>L136</f>
        <v>63.657042000714448</v>
      </c>
    </row>
    <row r="49" spans="1:34">
      <c r="A49" s="124">
        <v>44805</v>
      </c>
      <c r="B49">
        <v>2</v>
      </c>
      <c r="C49" t="s">
        <v>2293</v>
      </c>
      <c r="H49">
        <v>0.23599999999999999</v>
      </c>
      <c r="X49" s="261">
        <f t="shared" ref="X49:X52" si="4">((J51-INDEX(LINEST($H$50:$H$55,$G$50:$G$55),2))/INDEX(LINEST($H$50:$H$55,$G$50:$G$55),1)/100.09)*12.01</f>
        <v>39.119611079194357</v>
      </c>
      <c r="Y49" s="261">
        <f t="shared" ref="Y49:Y52" si="5">(J51-X49)^2</f>
        <v>4.635455470225365E-2</v>
      </c>
      <c r="Z49" s="59"/>
      <c r="AA49" s="59"/>
      <c r="AC49">
        <v>2021</v>
      </c>
      <c r="AD49" t="s">
        <v>46</v>
      </c>
      <c r="AE49">
        <v>21</v>
      </c>
      <c r="AF49">
        <f>L137</f>
        <v>63.059691919776405</v>
      </c>
    </row>
    <row r="50" spans="1:34">
      <c r="A50" s="124">
        <v>44805</v>
      </c>
      <c r="B50">
        <v>3</v>
      </c>
      <c r="C50" t="s">
        <v>2294</v>
      </c>
      <c r="G50">
        <v>0</v>
      </c>
      <c r="H50">
        <v>0.32240000000000002</v>
      </c>
      <c r="I50">
        <v>0.26009000000000004</v>
      </c>
      <c r="J50">
        <v>0.26009000000000004</v>
      </c>
      <c r="X50" s="261">
        <f t="shared" si="4"/>
        <v>123.30987701461123</v>
      </c>
      <c r="Y50" s="261">
        <f t="shared" si="5"/>
        <v>6.0755693997185451</v>
      </c>
      <c r="Z50" s="59"/>
      <c r="AA50" s="59"/>
      <c r="AC50">
        <v>2021</v>
      </c>
      <c r="AD50" t="s">
        <v>47</v>
      </c>
      <c r="AE50">
        <v>1</v>
      </c>
      <c r="AF50">
        <f>L138</f>
        <v>67.120804797484496</v>
      </c>
    </row>
    <row r="51" spans="1:34">
      <c r="A51" s="124">
        <v>44805</v>
      </c>
      <c r="B51">
        <v>4</v>
      </c>
      <c r="C51" t="s">
        <v>2326</v>
      </c>
      <c r="D51">
        <v>332.8</v>
      </c>
      <c r="G51">
        <v>332.73344000000003</v>
      </c>
      <c r="H51">
        <v>39.164400000000001</v>
      </c>
      <c r="I51">
        <v>0.26009000000000004</v>
      </c>
      <c r="J51">
        <v>38.904310000000002</v>
      </c>
      <c r="K51">
        <v>327.62646549169989</v>
      </c>
      <c r="L51" s="39">
        <v>98.465145400384131</v>
      </c>
      <c r="M51">
        <v>324.22417884263115</v>
      </c>
      <c r="N51">
        <v>97.44261918568543</v>
      </c>
      <c r="O51">
        <v>128</v>
      </c>
      <c r="P51">
        <v>41.7</v>
      </c>
      <c r="Q51">
        <v>100</v>
      </c>
      <c r="R51">
        <v>3</v>
      </c>
      <c r="S51" t="s">
        <v>26</v>
      </c>
      <c r="T51" t="s">
        <v>26</v>
      </c>
      <c r="X51" s="261">
        <f t="shared" si="4"/>
        <v>241.00108903710105</v>
      </c>
      <c r="Y51" s="261">
        <f t="shared" si="5"/>
        <v>31.467376973483457</v>
      </c>
      <c r="Z51" s="59"/>
      <c r="AA51" s="59"/>
      <c r="AC51">
        <v>2021</v>
      </c>
      <c r="AD51" t="s">
        <v>47</v>
      </c>
      <c r="AE51">
        <v>2</v>
      </c>
      <c r="AF51">
        <f t="shared" ref="AF51:AF53" si="6">L139</f>
        <v>71.340135500677476</v>
      </c>
    </row>
    <row r="52" spans="1:34" ht="15.5">
      <c r="A52" s="124">
        <v>44805</v>
      </c>
      <c r="B52">
        <v>5</v>
      </c>
      <c r="C52" t="s">
        <v>2327</v>
      </c>
      <c r="D52">
        <v>1028.8</v>
      </c>
      <c r="G52">
        <v>1028.5942399999999</v>
      </c>
      <c r="H52">
        <v>121.10509999999999</v>
      </c>
      <c r="I52">
        <v>0.26009000000000004</v>
      </c>
      <c r="J52">
        <v>120.84500999999999</v>
      </c>
      <c r="K52">
        <v>1029.4320140375698</v>
      </c>
      <c r="L52" s="39">
        <v>100.08144844730707</v>
      </c>
      <c r="M52">
        <v>1007.1088302164861</v>
      </c>
      <c r="N52">
        <v>97.911187040721344</v>
      </c>
      <c r="O52">
        <v>128</v>
      </c>
      <c r="P52">
        <v>41.7</v>
      </c>
      <c r="Q52">
        <v>100</v>
      </c>
      <c r="R52">
        <v>3</v>
      </c>
      <c r="S52" t="s">
        <v>26</v>
      </c>
      <c r="T52" t="s">
        <v>26</v>
      </c>
      <c r="X52" s="261">
        <f t="shared" si="4"/>
        <v>344.65512744213027</v>
      </c>
      <c r="Y52" s="261">
        <f t="shared" si="5"/>
        <v>70.211284942499887</v>
      </c>
      <c r="Z52" s="59"/>
      <c r="AA52" s="68" t="s">
        <v>2348</v>
      </c>
      <c r="AC52">
        <v>2021</v>
      </c>
      <c r="AD52" t="s">
        <v>47</v>
      </c>
      <c r="AE52">
        <v>3</v>
      </c>
      <c r="AF52">
        <f t="shared" si="6"/>
        <v>69.647737721463599</v>
      </c>
    </row>
    <row r="53" spans="1:34" ht="15.5">
      <c r="A53" s="124">
        <v>44805</v>
      </c>
      <c r="B53">
        <v>6</v>
      </c>
      <c r="C53" t="s">
        <v>2328</v>
      </c>
      <c r="D53">
        <v>2001.7</v>
      </c>
      <c r="G53">
        <v>2001.2996600000001</v>
      </c>
      <c r="H53">
        <v>235.6516</v>
      </c>
      <c r="I53">
        <v>0.26009000000000004</v>
      </c>
      <c r="J53">
        <v>235.39151000000001</v>
      </c>
      <c r="K53">
        <v>2010.4996552282057</v>
      </c>
      <c r="L53" s="39">
        <v>100.45970103388744</v>
      </c>
      <c r="M53">
        <v>1961.7265808409661</v>
      </c>
      <c r="N53">
        <v>98.022630995748329</v>
      </c>
      <c r="O53">
        <v>128</v>
      </c>
      <c r="P53">
        <v>41.7</v>
      </c>
      <c r="Q53">
        <v>100</v>
      </c>
      <c r="R53">
        <v>3</v>
      </c>
      <c r="S53" t="s">
        <v>26</v>
      </c>
      <c r="T53" t="s">
        <v>26</v>
      </c>
      <c r="X53" s="59"/>
      <c r="Y53" s="326">
        <f>SQRT(SUM(Y48:Y52)/(6-2))</f>
        <v>5.2085425318121947</v>
      </c>
      <c r="Z53" s="68" t="s">
        <v>2353</v>
      </c>
      <c r="AA53" s="326">
        <f>(Y53/$AK$15)*100</f>
        <v>2.617307296053514</v>
      </c>
      <c r="AC53">
        <v>2021</v>
      </c>
      <c r="AD53" t="s">
        <v>47</v>
      </c>
      <c r="AE53">
        <v>4</v>
      </c>
      <c r="AF53">
        <f t="shared" si="6"/>
        <v>73.824145539924771</v>
      </c>
    </row>
    <row r="54" spans="1:34" ht="15.5">
      <c r="A54" s="124">
        <v>44805</v>
      </c>
      <c r="B54">
        <v>7</v>
      </c>
      <c r="C54" t="s">
        <v>2329</v>
      </c>
      <c r="D54">
        <v>2864.4</v>
      </c>
      <c r="G54">
        <v>2863.8271200000004</v>
      </c>
      <c r="H54">
        <v>336.536</v>
      </c>
      <c r="I54">
        <v>0.26009000000000004</v>
      </c>
      <c r="J54">
        <v>336.27591000000001</v>
      </c>
      <c r="K54">
        <v>2874.5541688181675</v>
      </c>
      <c r="L54" s="39">
        <v>100.37457040417186</v>
      </c>
      <c r="M54">
        <v>2802.4859143963363</v>
      </c>
      <c r="N54">
        <v>97.858068834697534</v>
      </c>
      <c r="O54">
        <v>128</v>
      </c>
      <c r="P54">
        <v>41.7</v>
      </c>
      <c r="Q54">
        <v>100</v>
      </c>
      <c r="R54">
        <v>3</v>
      </c>
      <c r="S54" t="s">
        <v>26</v>
      </c>
      <c r="T54" t="s">
        <v>26</v>
      </c>
      <c r="X54" s="59"/>
      <c r="Y54" s="326">
        <f>(Y53/12.01)*100.09</f>
        <v>43.407412323820367</v>
      </c>
      <c r="Z54" s="68" t="s">
        <v>2354</v>
      </c>
      <c r="AA54" s="59"/>
      <c r="AC54">
        <v>2021</v>
      </c>
      <c r="AD54" t="s">
        <v>47</v>
      </c>
      <c r="AE54">
        <v>5</v>
      </c>
      <c r="AF54">
        <f>L144</f>
        <v>69.217122599232454</v>
      </c>
    </row>
    <row r="55" spans="1:34">
      <c r="A55" s="124">
        <v>44805</v>
      </c>
      <c r="B55">
        <v>8</v>
      </c>
      <c r="C55" t="s">
        <v>2330</v>
      </c>
      <c r="D55">
        <v>3925.8</v>
      </c>
      <c r="G55">
        <v>3925.0148400000003</v>
      </c>
      <c r="H55">
        <v>457.74799999999999</v>
      </c>
      <c r="I55">
        <v>0.26009000000000004</v>
      </c>
      <c r="J55">
        <v>457.48791</v>
      </c>
      <c r="K55">
        <v>3912.710471490002</v>
      </c>
      <c r="L55" s="39">
        <v>99.686514089460147</v>
      </c>
      <c r="M55">
        <v>3812.6531983263949</v>
      </c>
      <c r="N55">
        <v>97.13729383826724</v>
      </c>
      <c r="O55">
        <v>128</v>
      </c>
      <c r="P55">
        <v>41.7</v>
      </c>
      <c r="Q55">
        <v>100</v>
      </c>
      <c r="R55">
        <v>3</v>
      </c>
      <c r="S55" t="s">
        <v>26</v>
      </c>
      <c r="T55" t="s">
        <v>26</v>
      </c>
      <c r="AC55">
        <v>2021</v>
      </c>
      <c r="AD55" t="s">
        <v>47</v>
      </c>
      <c r="AE55">
        <v>6</v>
      </c>
      <c r="AF55">
        <f>L146</f>
        <v>67.520281342064521</v>
      </c>
    </row>
    <row r="56" spans="1:34">
      <c r="A56" s="124">
        <v>44805</v>
      </c>
      <c r="B56">
        <v>9</v>
      </c>
      <c r="C56" t="s">
        <v>2300</v>
      </c>
      <c r="H56">
        <v>0.50209999999999999</v>
      </c>
      <c r="I56">
        <v>0.26009000000000004</v>
      </c>
      <c r="J56">
        <v>0.24200999999999995</v>
      </c>
      <c r="O56">
        <v>128</v>
      </c>
      <c r="P56">
        <v>41.7</v>
      </c>
      <c r="Q56">
        <v>100</v>
      </c>
      <c r="R56">
        <v>3</v>
      </c>
      <c r="S56" t="s">
        <v>26</v>
      </c>
      <c r="T56" t="s">
        <v>26</v>
      </c>
      <c r="AC56">
        <v>2021</v>
      </c>
      <c r="AD56" t="s">
        <v>47</v>
      </c>
      <c r="AE56">
        <v>7</v>
      </c>
      <c r="AF56">
        <f t="shared" ref="AF56:AF59" si="7">L147</f>
        <v>70.017770472842912</v>
      </c>
    </row>
    <row r="57" spans="1:34">
      <c r="A57" s="124">
        <v>44805</v>
      </c>
      <c r="B57">
        <v>10</v>
      </c>
      <c r="C57" t="s">
        <v>2301</v>
      </c>
      <c r="H57">
        <v>0.23599999999999999</v>
      </c>
      <c r="I57">
        <v>0.26009000000000004</v>
      </c>
      <c r="J57">
        <v>-2.4090000000000056E-2</v>
      </c>
      <c r="O57">
        <v>128</v>
      </c>
      <c r="P57">
        <v>41.7</v>
      </c>
      <c r="Q57">
        <v>100</v>
      </c>
      <c r="R57">
        <v>3</v>
      </c>
      <c r="S57" t="s">
        <v>26</v>
      </c>
      <c r="T57" t="s">
        <v>26</v>
      </c>
      <c r="AC57">
        <v>2021</v>
      </c>
      <c r="AD57" t="s">
        <v>47</v>
      </c>
      <c r="AE57">
        <v>8</v>
      </c>
      <c r="AF57">
        <f t="shared" si="7"/>
        <v>71.848509565839606</v>
      </c>
    </row>
    <row r="58" spans="1:34">
      <c r="A58" s="124">
        <v>44805</v>
      </c>
      <c r="B58">
        <v>11</v>
      </c>
      <c r="C58" t="s">
        <v>2302</v>
      </c>
      <c r="D58">
        <v>1226.5</v>
      </c>
      <c r="H58">
        <v>16.670999999999999</v>
      </c>
      <c r="I58">
        <v>0.26009000000000004</v>
      </c>
      <c r="J58">
        <v>16.410909999999998</v>
      </c>
      <c r="K58">
        <v>134.97503676749227</v>
      </c>
      <c r="L58" s="39">
        <v>11.004894966774746</v>
      </c>
      <c r="M58">
        <v>136.76669291423812</v>
      </c>
      <c r="N58">
        <v>11.150973739440532</v>
      </c>
      <c r="O58">
        <v>128</v>
      </c>
      <c r="P58">
        <v>41.7</v>
      </c>
      <c r="Q58">
        <v>100</v>
      </c>
      <c r="R58">
        <v>3</v>
      </c>
      <c r="S58" t="s">
        <v>26</v>
      </c>
      <c r="T58" t="s">
        <v>26</v>
      </c>
      <c r="AC58">
        <v>2021</v>
      </c>
      <c r="AD58" t="s">
        <v>47</v>
      </c>
      <c r="AE58">
        <v>9</v>
      </c>
      <c r="AF58">
        <f t="shared" si="7"/>
        <v>72.769164706681337</v>
      </c>
    </row>
    <row r="59" spans="1:34">
      <c r="A59" s="124">
        <v>44805</v>
      </c>
      <c r="B59">
        <v>12</v>
      </c>
      <c r="C59" t="s">
        <v>2302</v>
      </c>
      <c r="D59">
        <v>2041.3</v>
      </c>
      <c r="H59">
        <v>28.787700000000001</v>
      </c>
      <c r="I59">
        <v>0.26009000000000004</v>
      </c>
      <c r="J59">
        <v>28.527609999999999</v>
      </c>
      <c r="K59">
        <v>238.75212544339746</v>
      </c>
      <c r="L59" s="39">
        <v>11.696082175250941</v>
      </c>
      <c r="M59">
        <v>237.74591880932559</v>
      </c>
      <c r="N59">
        <v>11.646789732490355</v>
      </c>
      <c r="O59">
        <v>128</v>
      </c>
      <c r="P59">
        <v>41.7</v>
      </c>
      <c r="Q59">
        <v>100</v>
      </c>
      <c r="R59">
        <v>3</v>
      </c>
      <c r="S59" t="s">
        <v>26</v>
      </c>
      <c r="T59" t="s">
        <v>26</v>
      </c>
      <c r="AC59">
        <v>2021</v>
      </c>
      <c r="AD59" t="s">
        <v>47</v>
      </c>
      <c r="AE59">
        <v>10</v>
      </c>
      <c r="AF59">
        <f t="shared" si="7"/>
        <v>73.018737628937203</v>
      </c>
    </row>
    <row r="60" spans="1:34">
      <c r="A60" s="124">
        <v>44805</v>
      </c>
      <c r="B60">
        <v>13</v>
      </c>
      <c r="C60" t="s">
        <v>2303</v>
      </c>
      <c r="H60">
        <v>0.184</v>
      </c>
      <c r="I60">
        <v>0.26009000000000004</v>
      </c>
      <c r="J60">
        <v>-7.6090000000000046E-2</v>
      </c>
      <c r="O60">
        <v>128</v>
      </c>
      <c r="P60">
        <v>41.7</v>
      </c>
      <c r="Q60">
        <v>100</v>
      </c>
      <c r="R60">
        <v>3</v>
      </c>
      <c r="S60" t="s">
        <v>26</v>
      </c>
      <c r="T60" t="s">
        <v>26</v>
      </c>
      <c r="AC60">
        <v>2021</v>
      </c>
      <c r="AD60" t="s">
        <v>47</v>
      </c>
      <c r="AE60">
        <v>11</v>
      </c>
      <c r="AF60" s="39">
        <f>AVERAGE(L176,L179)</f>
        <v>72.319518179165954</v>
      </c>
      <c r="AG60" s="48" t="s">
        <v>2358</v>
      </c>
      <c r="AH60" s="48">
        <f>((L176-L179)/AVERAGE(L176,L179))*100</f>
        <v>-0.40259716322241712</v>
      </c>
    </row>
    <row r="61" spans="1:34">
      <c r="A61" s="124">
        <v>44805</v>
      </c>
      <c r="B61">
        <v>14</v>
      </c>
      <c r="C61" t="s">
        <v>2304</v>
      </c>
      <c r="H61">
        <v>0.188</v>
      </c>
      <c r="I61">
        <v>0.26009000000000004</v>
      </c>
      <c r="J61">
        <v>0.26009000000000004</v>
      </c>
      <c r="O61">
        <v>128</v>
      </c>
      <c r="P61">
        <v>41.7</v>
      </c>
      <c r="Q61">
        <v>100</v>
      </c>
      <c r="R61">
        <v>3</v>
      </c>
      <c r="S61" t="s">
        <v>26</v>
      </c>
      <c r="T61" t="s">
        <v>26</v>
      </c>
      <c r="AC61">
        <v>2021</v>
      </c>
      <c r="AD61" t="s">
        <v>47</v>
      </c>
      <c r="AE61">
        <v>12</v>
      </c>
      <c r="AF61">
        <f>L170</f>
        <v>73.744515220353975</v>
      </c>
    </row>
    <row r="62" spans="1:34">
      <c r="A62" s="124">
        <v>44805</v>
      </c>
      <c r="B62">
        <v>15</v>
      </c>
      <c r="C62" t="s">
        <v>2331</v>
      </c>
      <c r="D62">
        <v>2038.7</v>
      </c>
      <c r="H62">
        <v>161.2911</v>
      </c>
      <c r="I62">
        <v>0.26009000000000004</v>
      </c>
      <c r="J62">
        <v>161.03101000000001</v>
      </c>
      <c r="K62">
        <v>1373.6169889507005</v>
      </c>
      <c r="L62" s="39">
        <v>67.377102513891231</v>
      </c>
      <c r="M62">
        <v>1342.0144705162368</v>
      </c>
      <c r="N62">
        <v>65.826971624870595</v>
      </c>
      <c r="O62">
        <v>128</v>
      </c>
      <c r="P62">
        <v>41.7</v>
      </c>
      <c r="Q62">
        <v>100</v>
      </c>
      <c r="R62">
        <v>3</v>
      </c>
      <c r="S62" t="s">
        <v>26</v>
      </c>
      <c r="T62" t="s">
        <v>26</v>
      </c>
      <c r="AC62">
        <v>2021</v>
      </c>
      <c r="AD62" t="s">
        <v>47</v>
      </c>
      <c r="AE62">
        <v>13</v>
      </c>
      <c r="AF62">
        <f t="shared" ref="AF62:AF64" si="8">L171</f>
        <v>71.72150652687445</v>
      </c>
    </row>
    <row r="63" spans="1:34">
      <c r="A63" s="124">
        <v>44805</v>
      </c>
      <c r="B63">
        <v>16</v>
      </c>
      <c r="C63" t="s">
        <v>2332</v>
      </c>
      <c r="D63">
        <v>2958.9</v>
      </c>
      <c r="H63">
        <v>195.4588</v>
      </c>
      <c r="I63">
        <v>0.26009000000000004</v>
      </c>
      <c r="J63">
        <v>195.19871000000001</v>
      </c>
      <c r="K63">
        <v>1666.2564396882549</v>
      </c>
      <c r="L63" s="39">
        <v>56.313374554336235</v>
      </c>
      <c r="M63">
        <v>1626.764270099917</v>
      </c>
      <c r="N63">
        <v>54.978683635807798</v>
      </c>
      <c r="O63">
        <v>128</v>
      </c>
      <c r="P63">
        <v>41.7</v>
      </c>
      <c r="Q63">
        <v>100</v>
      </c>
      <c r="R63">
        <v>3</v>
      </c>
      <c r="S63" t="s">
        <v>26</v>
      </c>
      <c r="T63" t="s">
        <v>26</v>
      </c>
      <c r="AC63">
        <v>2021</v>
      </c>
      <c r="AD63" t="s">
        <v>47</v>
      </c>
      <c r="AE63">
        <v>14</v>
      </c>
      <c r="AF63">
        <f t="shared" si="8"/>
        <v>71.866061243464856</v>
      </c>
    </row>
    <row r="64" spans="1:34">
      <c r="A64" s="124">
        <v>44805</v>
      </c>
      <c r="B64">
        <v>17</v>
      </c>
      <c r="C64" t="s">
        <v>2333</v>
      </c>
      <c r="D64">
        <v>2180.4</v>
      </c>
      <c r="H64">
        <v>109.4151</v>
      </c>
      <c r="I64">
        <v>0.26009000000000004</v>
      </c>
      <c r="J64">
        <v>109.15500999999999</v>
      </c>
      <c r="K64">
        <v>929.30952469465217</v>
      </c>
      <c r="L64" s="39">
        <v>42.62105690215796</v>
      </c>
      <c r="M64">
        <v>909.68567451290596</v>
      </c>
      <c r="N64">
        <v>41.721045428036412</v>
      </c>
      <c r="O64">
        <v>128</v>
      </c>
      <c r="P64">
        <v>41.7</v>
      </c>
      <c r="Q64">
        <v>100</v>
      </c>
      <c r="R64">
        <v>3</v>
      </c>
      <c r="S64" t="s">
        <v>26</v>
      </c>
      <c r="T64" t="s">
        <v>26</v>
      </c>
      <c r="AC64">
        <v>2021</v>
      </c>
      <c r="AD64" t="s">
        <v>47</v>
      </c>
      <c r="AE64">
        <v>15</v>
      </c>
      <c r="AF64">
        <f t="shared" si="8"/>
        <v>69.301719304295517</v>
      </c>
    </row>
    <row r="65" spans="1:34">
      <c r="A65" s="124">
        <v>44805</v>
      </c>
      <c r="B65">
        <v>18</v>
      </c>
      <c r="C65" t="s">
        <v>2334</v>
      </c>
      <c r="D65">
        <v>2199.9</v>
      </c>
      <c r="H65">
        <v>123.54389999999999</v>
      </c>
      <c r="I65">
        <v>0.26009000000000004</v>
      </c>
      <c r="J65">
        <v>123.28380999999999</v>
      </c>
      <c r="K65">
        <v>1050.319843550787</v>
      </c>
      <c r="L65" s="39">
        <v>47.74398125145629</v>
      </c>
      <c r="M65">
        <v>1027.4335173105746</v>
      </c>
      <c r="N65">
        <v>46.703646407135537</v>
      </c>
      <c r="O65">
        <v>128</v>
      </c>
      <c r="P65">
        <v>41.7</v>
      </c>
      <c r="Q65">
        <v>100</v>
      </c>
      <c r="R65">
        <v>3</v>
      </c>
      <c r="S65" t="s">
        <v>26</v>
      </c>
      <c r="T65" t="s">
        <v>26</v>
      </c>
      <c r="AC65">
        <v>2021</v>
      </c>
      <c r="AD65" t="s">
        <v>47</v>
      </c>
      <c r="AE65">
        <v>16</v>
      </c>
      <c r="AF65" s="39">
        <f>AVERAGE(L182:L183)</f>
        <v>51.513612249116875</v>
      </c>
      <c r="AG65" s="48" t="s">
        <v>2358</v>
      </c>
      <c r="AH65" s="48">
        <f>((L182-L183)/AVERAGE(L182,L183))*100</f>
        <v>0.63856037126868626</v>
      </c>
    </row>
    <row r="66" spans="1:34">
      <c r="A66" s="124">
        <v>44805</v>
      </c>
      <c r="B66">
        <v>19</v>
      </c>
      <c r="C66" t="s">
        <v>2335</v>
      </c>
      <c r="D66">
        <v>3130.9</v>
      </c>
      <c r="H66">
        <v>205.84700000000001</v>
      </c>
      <c r="I66">
        <v>0.26009000000000004</v>
      </c>
      <c r="J66">
        <v>205.58691000000002</v>
      </c>
      <c r="K66">
        <v>1755.2292749142684</v>
      </c>
      <c r="L66" s="39">
        <v>56.061492699040805</v>
      </c>
      <c r="M66">
        <v>1713.3383698501252</v>
      </c>
      <c r="N66">
        <v>54.723509848609829</v>
      </c>
      <c r="O66">
        <v>128</v>
      </c>
      <c r="P66">
        <v>41.7</v>
      </c>
      <c r="Q66">
        <v>100</v>
      </c>
      <c r="R66">
        <v>3</v>
      </c>
      <c r="S66" t="s">
        <v>26</v>
      </c>
      <c r="T66" t="s">
        <v>26</v>
      </c>
      <c r="AC66">
        <v>2021</v>
      </c>
      <c r="AD66" t="s">
        <v>47</v>
      </c>
      <c r="AE66">
        <v>17</v>
      </c>
      <c r="AF66">
        <f>L174</f>
        <v>50.274385895742</v>
      </c>
      <c r="AG66" s="48"/>
      <c r="AH66" s="48"/>
    </row>
    <row r="67" spans="1:34">
      <c r="A67" s="124">
        <v>44805</v>
      </c>
      <c r="B67">
        <v>20</v>
      </c>
      <c r="C67" t="s">
        <v>2336</v>
      </c>
      <c r="D67">
        <v>2445.8000000000002</v>
      </c>
      <c r="H67">
        <v>171.32149999999999</v>
      </c>
      <c r="I67">
        <v>0.26009000000000004</v>
      </c>
      <c r="J67">
        <v>171.06141</v>
      </c>
      <c r="K67">
        <v>1459.5253394301872</v>
      </c>
      <c r="L67" s="39">
        <v>59.674762426616525</v>
      </c>
      <c r="M67">
        <v>1425.6067049875103</v>
      </c>
      <c r="N67">
        <v>58.287950976674708</v>
      </c>
      <c r="O67">
        <v>128</v>
      </c>
      <c r="P67">
        <v>41.7</v>
      </c>
      <c r="Q67">
        <v>100</v>
      </c>
      <c r="R67">
        <v>3</v>
      </c>
      <c r="S67" t="s">
        <v>26</v>
      </c>
      <c r="T67" t="s">
        <v>26</v>
      </c>
      <c r="AC67">
        <v>2021</v>
      </c>
      <c r="AD67" t="s">
        <v>47</v>
      </c>
      <c r="AE67">
        <v>18</v>
      </c>
      <c r="AF67">
        <f>L175</f>
        <v>55.710872875184357</v>
      </c>
    </row>
    <row r="68" spans="1:34">
      <c r="A68" s="124">
        <v>44805</v>
      </c>
      <c r="B68">
        <v>21</v>
      </c>
      <c r="C68" t="s">
        <v>2337</v>
      </c>
      <c r="D68">
        <v>2285.5</v>
      </c>
      <c r="H68">
        <v>101.63639999999999</v>
      </c>
      <c r="I68">
        <v>0.26009000000000004</v>
      </c>
      <c r="J68">
        <v>101.37630999999999</v>
      </c>
      <c r="K68">
        <v>862.68653001101188</v>
      </c>
      <c r="L68" s="39">
        <v>37.746074382455127</v>
      </c>
      <c r="M68">
        <v>844.85885661115731</v>
      </c>
      <c r="N68">
        <v>36.966040543039043</v>
      </c>
      <c r="O68">
        <v>128</v>
      </c>
      <c r="P68">
        <v>41.7</v>
      </c>
      <c r="Q68">
        <v>100</v>
      </c>
      <c r="R68">
        <v>3</v>
      </c>
      <c r="S68" t="s">
        <v>26</v>
      </c>
      <c r="T68" t="s">
        <v>26</v>
      </c>
      <c r="AC68">
        <v>2021</v>
      </c>
      <c r="AD68" t="s">
        <v>47</v>
      </c>
      <c r="AE68">
        <v>19</v>
      </c>
      <c r="AF68">
        <f>L178</f>
        <v>64.347281548320183</v>
      </c>
    </row>
    <row r="69" spans="1:34">
      <c r="A69" s="124">
        <v>44805</v>
      </c>
      <c r="B69">
        <v>22</v>
      </c>
      <c r="C69" t="s">
        <v>2312</v>
      </c>
      <c r="H69">
        <v>0.19409999999999999</v>
      </c>
      <c r="I69">
        <v>0.26009000000000004</v>
      </c>
      <c r="J69">
        <v>-6.5990000000000049E-2</v>
      </c>
      <c r="O69">
        <v>128</v>
      </c>
      <c r="P69">
        <v>41.7</v>
      </c>
      <c r="Q69">
        <v>100</v>
      </c>
      <c r="R69">
        <v>3</v>
      </c>
      <c r="S69" t="s">
        <v>26</v>
      </c>
      <c r="T69" t="s">
        <v>26</v>
      </c>
      <c r="AC69">
        <v>2021</v>
      </c>
      <c r="AD69" t="s">
        <v>47</v>
      </c>
      <c r="AE69">
        <v>20</v>
      </c>
      <c r="AF69">
        <f>L180</f>
        <v>65.307426314780514</v>
      </c>
    </row>
    <row r="70" spans="1:34">
      <c r="A70" s="124">
        <v>44805</v>
      </c>
      <c r="B70">
        <v>23</v>
      </c>
      <c r="C70" t="s">
        <v>2338</v>
      </c>
      <c r="D70">
        <v>2132.6999999999998</v>
      </c>
      <c r="H70">
        <v>142.18729999999999</v>
      </c>
      <c r="I70">
        <v>0.26009000000000004</v>
      </c>
      <c r="J70">
        <v>141.92721</v>
      </c>
      <c r="K70">
        <v>1209.9967997369081</v>
      </c>
      <c r="L70" s="39">
        <v>56.73544332240391</v>
      </c>
      <c r="M70">
        <v>1182.8055327976688</v>
      </c>
      <c r="N70">
        <v>55.460474178162364</v>
      </c>
      <c r="O70">
        <v>128</v>
      </c>
      <c r="P70">
        <v>41.7</v>
      </c>
      <c r="Q70">
        <v>100</v>
      </c>
      <c r="R70">
        <v>3</v>
      </c>
      <c r="S70" t="s">
        <v>26</v>
      </c>
      <c r="T70" t="s">
        <v>26</v>
      </c>
      <c r="AC70">
        <v>2021</v>
      </c>
      <c r="AD70" t="s">
        <v>47</v>
      </c>
      <c r="AE70">
        <v>21</v>
      </c>
      <c r="AF70">
        <f>L181</f>
        <v>70.845809336024359</v>
      </c>
    </row>
    <row r="71" spans="1:34">
      <c r="A71" s="124">
        <v>44805</v>
      </c>
      <c r="B71">
        <v>24</v>
      </c>
      <c r="C71" t="s">
        <v>2339</v>
      </c>
      <c r="D71">
        <v>2152.9</v>
      </c>
      <c r="H71">
        <v>94.8429</v>
      </c>
      <c r="I71">
        <v>0.26009000000000004</v>
      </c>
      <c r="J71">
        <v>94.582809999999995</v>
      </c>
      <c r="K71">
        <v>804.50157437789721</v>
      </c>
      <c r="L71" s="39">
        <v>37.368274159408109</v>
      </c>
      <c r="M71">
        <v>788.24258558701081</v>
      </c>
      <c r="N71">
        <v>36.613060782526397</v>
      </c>
      <c r="O71">
        <v>128</v>
      </c>
      <c r="P71">
        <v>41.7</v>
      </c>
      <c r="Q71">
        <v>100</v>
      </c>
      <c r="R71">
        <v>3</v>
      </c>
      <c r="S71" t="s">
        <v>26</v>
      </c>
      <c r="T71" t="s">
        <v>26</v>
      </c>
    </row>
    <row r="72" spans="1:34">
      <c r="A72" s="124">
        <v>44805</v>
      </c>
      <c r="B72">
        <v>25</v>
      </c>
      <c r="C72" t="s">
        <v>2340</v>
      </c>
      <c r="D72">
        <v>2360.3000000000002</v>
      </c>
      <c r="H72">
        <v>194.02780000000001</v>
      </c>
      <c r="I72">
        <v>0.26009000000000004</v>
      </c>
      <c r="J72">
        <v>193.76771000000002</v>
      </c>
      <c r="K72">
        <v>1654.0002136617609</v>
      </c>
      <c r="L72" s="39">
        <v>70.075846869540342</v>
      </c>
      <c r="M72">
        <v>1614.8384757618653</v>
      </c>
      <c r="N72">
        <v>68.416662109132957</v>
      </c>
      <c r="O72">
        <v>128</v>
      </c>
      <c r="P72">
        <v>41.7</v>
      </c>
      <c r="Q72">
        <v>100</v>
      </c>
      <c r="R72">
        <v>3</v>
      </c>
      <c r="S72" t="s">
        <v>26</v>
      </c>
      <c r="T72" t="s">
        <v>26</v>
      </c>
    </row>
    <row r="73" spans="1:34">
      <c r="A73" s="124">
        <v>44805</v>
      </c>
      <c r="B73">
        <v>26</v>
      </c>
      <c r="C73" t="s">
        <v>2341</v>
      </c>
      <c r="D73">
        <v>2112.6</v>
      </c>
      <c r="H73">
        <v>173.75620000000001</v>
      </c>
      <c r="I73">
        <v>0.26009000000000004</v>
      </c>
      <c r="J73">
        <v>173.49611000000002</v>
      </c>
      <c r="K73">
        <v>1480.3780532713511</v>
      </c>
      <c r="L73" s="39">
        <v>70.073750509862307</v>
      </c>
      <c r="M73">
        <v>1445.897223139051</v>
      </c>
      <c r="N73">
        <v>68.441599126150294</v>
      </c>
      <c r="O73">
        <v>128</v>
      </c>
      <c r="P73">
        <v>41.7</v>
      </c>
      <c r="Q73">
        <v>100</v>
      </c>
      <c r="R73">
        <v>3</v>
      </c>
      <c r="S73" t="s">
        <v>26</v>
      </c>
      <c r="T73" t="s">
        <v>26</v>
      </c>
    </row>
    <row r="74" spans="1:34">
      <c r="A74" s="124">
        <v>44805</v>
      </c>
      <c r="B74">
        <v>27</v>
      </c>
      <c r="C74" t="s">
        <v>2342</v>
      </c>
      <c r="D74">
        <v>3015.5</v>
      </c>
      <c r="H74">
        <v>247.16139999999999</v>
      </c>
      <c r="I74">
        <v>0.26009000000000004</v>
      </c>
      <c r="J74">
        <v>246.90131</v>
      </c>
      <c r="K74">
        <v>2109.0787679603795</v>
      </c>
      <c r="L74" s="39">
        <v>69.941262409563237</v>
      </c>
      <c r="M74">
        <v>2057.6479698501253</v>
      </c>
      <c r="N74">
        <v>68.235714470241263</v>
      </c>
      <c r="O74">
        <v>128</v>
      </c>
      <c r="P74">
        <v>41.7</v>
      </c>
      <c r="Q74">
        <v>100</v>
      </c>
      <c r="R74">
        <v>3</v>
      </c>
      <c r="S74" t="s">
        <v>26</v>
      </c>
      <c r="T74" t="s">
        <v>26</v>
      </c>
    </row>
    <row r="75" spans="1:34">
      <c r="A75" s="124">
        <v>44805</v>
      </c>
      <c r="B75">
        <v>28</v>
      </c>
      <c r="C75" t="s">
        <v>2343</v>
      </c>
      <c r="D75">
        <v>2785</v>
      </c>
      <c r="H75">
        <v>229.3663</v>
      </c>
      <c r="I75">
        <v>0.26009000000000004</v>
      </c>
      <c r="J75">
        <v>229.10621</v>
      </c>
      <c r="K75">
        <v>1956.6673299701183</v>
      </c>
      <c r="L75" s="39">
        <v>70.257354756557206</v>
      </c>
      <c r="M75">
        <v>1909.3455919150708</v>
      </c>
      <c r="N75">
        <v>68.558190014903801</v>
      </c>
      <c r="O75">
        <v>128</v>
      </c>
      <c r="P75">
        <v>41.7</v>
      </c>
      <c r="Q75">
        <v>100</v>
      </c>
      <c r="R75">
        <v>3</v>
      </c>
      <c r="S75" t="s">
        <v>26</v>
      </c>
      <c r="T75" t="s">
        <v>26</v>
      </c>
    </row>
    <row r="76" spans="1:34">
      <c r="A76" s="124">
        <v>44805</v>
      </c>
      <c r="B76">
        <v>29</v>
      </c>
      <c r="C76" t="s">
        <v>2344</v>
      </c>
      <c r="D76">
        <v>2658.4</v>
      </c>
      <c r="H76">
        <v>224.09989999999999</v>
      </c>
      <c r="I76">
        <v>0.26009000000000004</v>
      </c>
      <c r="J76">
        <v>223.83981</v>
      </c>
      <c r="K76">
        <v>1911.5616774572404</v>
      </c>
      <c r="L76" s="39">
        <v>71.906472970856171</v>
      </c>
      <c r="M76">
        <v>1865.4560019067444</v>
      </c>
      <c r="N76">
        <v>70.172133685929296</v>
      </c>
      <c r="O76">
        <v>128</v>
      </c>
      <c r="P76">
        <v>41.7</v>
      </c>
      <c r="Q76">
        <v>100</v>
      </c>
      <c r="R76">
        <v>3</v>
      </c>
      <c r="S76" t="s">
        <v>26</v>
      </c>
      <c r="T76" t="s">
        <v>26</v>
      </c>
    </row>
    <row r="77" spans="1:34">
      <c r="A77" s="124">
        <v>44805</v>
      </c>
      <c r="B77">
        <v>30</v>
      </c>
      <c r="C77" t="s">
        <v>2320</v>
      </c>
      <c r="H77">
        <v>0.2321</v>
      </c>
      <c r="I77">
        <v>0.26009000000000004</v>
      </c>
      <c r="J77">
        <v>-2.7990000000000043E-2</v>
      </c>
      <c r="O77">
        <v>128</v>
      </c>
      <c r="P77">
        <v>41.7</v>
      </c>
      <c r="Q77">
        <v>100</v>
      </c>
      <c r="R77">
        <v>3</v>
      </c>
      <c r="S77" t="s">
        <v>26</v>
      </c>
      <c r="T77" t="s">
        <v>26</v>
      </c>
    </row>
    <row r="78" spans="1:34">
      <c r="A78" s="124">
        <v>44805</v>
      </c>
      <c r="B78">
        <v>31</v>
      </c>
      <c r="C78" t="s">
        <v>2345</v>
      </c>
      <c r="D78">
        <v>1965.6</v>
      </c>
      <c r="G78">
        <v>1965.20688</v>
      </c>
      <c r="H78">
        <v>230.64750000000001</v>
      </c>
      <c r="I78">
        <v>0.26009000000000004</v>
      </c>
      <c r="J78">
        <v>230.38741000000002</v>
      </c>
      <c r="K78">
        <v>1967.6405492469487</v>
      </c>
      <c r="L78" s="39">
        <v>100.12383781431441</v>
      </c>
      <c r="M78">
        <v>1920.0229697668613</v>
      </c>
      <c r="N78">
        <v>97.700806429441229</v>
      </c>
      <c r="O78">
        <v>128</v>
      </c>
      <c r="P78">
        <v>41.7</v>
      </c>
      <c r="Q78">
        <v>100</v>
      </c>
      <c r="R78">
        <v>3</v>
      </c>
      <c r="S78" t="s">
        <v>26</v>
      </c>
      <c r="T78" t="s">
        <v>26</v>
      </c>
    </row>
    <row r="79" spans="1:34">
      <c r="A79" s="124">
        <v>44805</v>
      </c>
      <c r="B79">
        <v>32</v>
      </c>
      <c r="C79" t="s">
        <v>2322</v>
      </c>
      <c r="H79">
        <v>0.27410000000000001</v>
      </c>
      <c r="I79">
        <v>0.26009000000000004</v>
      </c>
      <c r="J79">
        <v>1.4009999999999967E-2</v>
      </c>
      <c r="O79">
        <v>128</v>
      </c>
      <c r="P79">
        <v>41.7</v>
      </c>
      <c r="Q79">
        <v>100</v>
      </c>
      <c r="R79">
        <v>3</v>
      </c>
      <c r="S79" t="s">
        <v>26</v>
      </c>
      <c r="T79" t="s">
        <v>26</v>
      </c>
    </row>
    <row r="82" spans="1:27">
      <c r="A82" t="s">
        <v>2359</v>
      </c>
    </row>
    <row r="83" spans="1:27">
      <c r="A83" t="s">
        <v>2290</v>
      </c>
    </row>
    <row r="84" spans="1:27">
      <c r="A84" t="s">
        <v>2360</v>
      </c>
      <c r="X84" s="327">
        <f>A85</f>
        <v>44806</v>
      </c>
      <c r="Y84" s="59"/>
      <c r="Z84" s="59"/>
      <c r="AA84" s="59"/>
    </row>
    <row r="85" spans="1:27">
      <c r="A85" s="124">
        <v>44806</v>
      </c>
      <c r="B85">
        <v>1</v>
      </c>
      <c r="C85" t="s">
        <v>2292</v>
      </c>
      <c r="H85">
        <v>0</v>
      </c>
      <c r="X85" s="261">
        <f>((J87-INDEX(LINEST($H$87:$H$92,$G$87:$G$92),2))/INDEX(LINEST($H$87:$H$92,$G$87:$G$92),1)/100.09)*12.01</f>
        <v>-0.47868933839154137</v>
      </c>
      <c r="Y85" s="261">
        <f>(J87-X85)^2</f>
        <v>0.66582228068189753</v>
      </c>
      <c r="Z85" s="59"/>
      <c r="AA85" s="59"/>
    </row>
    <row r="86" spans="1:27">
      <c r="A86" s="124">
        <v>44806</v>
      </c>
      <c r="B86">
        <v>2</v>
      </c>
      <c r="C86" t="s">
        <v>2293</v>
      </c>
      <c r="H86">
        <v>0.32429999999999998</v>
      </c>
      <c r="X86" s="261">
        <f t="shared" ref="X86:X89" si="9">((J88-INDEX(LINEST($H$87:$H$92,$G$87:$G$92),2))/INDEX(LINEST($H$87:$H$92,$G$87:$G$92),1)/100.09)*12.01</f>
        <v>26.81863756208153</v>
      </c>
      <c r="Y86" s="261">
        <f t="shared" ref="Y86:Y89" si="10">(J88-X86)^2</f>
        <v>0.1084862028603556</v>
      </c>
      <c r="Z86" s="59"/>
      <c r="AA86" s="59"/>
    </row>
    <row r="87" spans="1:27">
      <c r="A87" s="124">
        <v>44806</v>
      </c>
      <c r="B87">
        <v>3</v>
      </c>
      <c r="C87" t="s">
        <v>2294</v>
      </c>
      <c r="G87">
        <v>0</v>
      </c>
      <c r="H87">
        <v>0.2001</v>
      </c>
      <c r="I87">
        <v>0.33728999999999998</v>
      </c>
      <c r="J87">
        <v>0.33728999999999998</v>
      </c>
      <c r="X87" s="261">
        <f t="shared" si="9"/>
        <v>127.39523346619232</v>
      </c>
      <c r="Y87" s="261">
        <f t="shared" si="10"/>
        <v>2.1419009360955639</v>
      </c>
      <c r="Z87" s="59"/>
      <c r="AA87" s="59"/>
    </row>
    <row r="88" spans="1:27">
      <c r="A88" s="124">
        <v>44806</v>
      </c>
      <c r="B88">
        <v>4</v>
      </c>
      <c r="C88" t="s">
        <v>2361</v>
      </c>
      <c r="D88">
        <v>228.9</v>
      </c>
      <c r="G88">
        <v>228.85422</v>
      </c>
      <c r="H88">
        <v>27.485299999999999</v>
      </c>
      <c r="I88">
        <v>0.33728999999999998</v>
      </c>
      <c r="J88">
        <v>27.148009999999999</v>
      </c>
      <c r="K88">
        <v>224.81228177501706</v>
      </c>
      <c r="L88" s="39">
        <v>98.233837145330796</v>
      </c>
      <c r="M88">
        <v>226.24848633638632</v>
      </c>
      <c r="N88">
        <v>98.861400212059152</v>
      </c>
      <c r="O88">
        <v>128</v>
      </c>
      <c r="P88">
        <v>41.7</v>
      </c>
      <c r="Q88">
        <v>100</v>
      </c>
      <c r="R88">
        <v>3</v>
      </c>
      <c r="S88" t="s">
        <v>26</v>
      </c>
      <c r="T88" t="s">
        <v>26</v>
      </c>
      <c r="X88" s="261">
        <f t="shared" si="9"/>
        <v>276.05221876003645</v>
      </c>
      <c r="Y88" s="261">
        <f t="shared" si="10"/>
        <v>16.92095431889652</v>
      </c>
      <c r="Z88" s="59"/>
      <c r="AA88" s="59"/>
    </row>
    <row r="89" spans="1:27" ht="15.5">
      <c r="A89" s="124">
        <v>44806</v>
      </c>
      <c r="B89">
        <v>5</v>
      </c>
      <c r="C89" t="s">
        <v>2362</v>
      </c>
      <c r="D89">
        <v>1062.9000000000001</v>
      </c>
      <c r="G89">
        <v>1062.6874200000002</v>
      </c>
      <c r="H89">
        <v>126.26900000000001</v>
      </c>
      <c r="I89">
        <v>0.33728999999999998</v>
      </c>
      <c r="J89">
        <v>125.93171000000001</v>
      </c>
      <c r="K89">
        <v>1063.5040487167798</v>
      </c>
      <c r="L89" s="39">
        <v>100.07684561813855</v>
      </c>
      <c r="M89">
        <v>1049.5008204746046</v>
      </c>
      <c r="N89">
        <v>98.759127164091609</v>
      </c>
      <c r="O89">
        <v>128</v>
      </c>
      <c r="P89">
        <v>41.7</v>
      </c>
      <c r="Q89">
        <v>100</v>
      </c>
      <c r="R89">
        <v>3</v>
      </c>
      <c r="S89" t="s">
        <v>26</v>
      </c>
      <c r="T89" t="s">
        <v>26</v>
      </c>
      <c r="X89" s="261">
        <f t="shared" si="9"/>
        <v>347.68118925522538</v>
      </c>
      <c r="Y89" s="261">
        <f t="shared" si="10"/>
        <v>29.05618851516385</v>
      </c>
      <c r="Z89" s="59"/>
      <c r="AA89" s="68" t="s">
        <v>2348</v>
      </c>
    </row>
    <row r="90" spans="1:27" ht="15.5">
      <c r="A90" s="124">
        <v>44806</v>
      </c>
      <c r="B90">
        <v>6</v>
      </c>
      <c r="C90" t="s">
        <v>2363</v>
      </c>
      <c r="D90">
        <v>2291</v>
      </c>
      <c r="G90">
        <v>2290.5418</v>
      </c>
      <c r="H90">
        <v>272.27600000000001</v>
      </c>
      <c r="I90">
        <v>0.33728999999999998</v>
      </c>
      <c r="J90">
        <v>271.93871000000001</v>
      </c>
      <c r="K90">
        <v>2303.1303111048651</v>
      </c>
      <c r="L90" s="39">
        <v>100.54958661330107</v>
      </c>
      <c r="M90">
        <v>2266.3068679350545</v>
      </c>
      <c r="N90">
        <v>98.941956350024014</v>
      </c>
      <c r="O90">
        <v>128</v>
      </c>
      <c r="P90">
        <v>41.7</v>
      </c>
      <c r="Q90">
        <v>100</v>
      </c>
      <c r="R90">
        <v>3</v>
      </c>
      <c r="S90" t="s">
        <v>26</v>
      </c>
      <c r="T90" t="s">
        <v>26</v>
      </c>
      <c r="X90" s="59"/>
      <c r="Y90" s="326">
        <f>SQRT(SUM(Y85:Y89)/(6-2))</f>
        <v>3.4961890771845487</v>
      </c>
      <c r="Z90" s="68" t="s">
        <v>2353</v>
      </c>
      <c r="AA90" s="326">
        <f>(Y90/$AK$15)*100</f>
        <v>1.7568448609584411</v>
      </c>
    </row>
    <row r="91" spans="1:27" ht="15.5">
      <c r="A91" s="124">
        <v>44806</v>
      </c>
      <c r="B91">
        <v>7</v>
      </c>
      <c r="C91" t="s">
        <v>2364</v>
      </c>
      <c r="D91">
        <v>2896.6</v>
      </c>
      <c r="G91">
        <v>2896.0206800000001</v>
      </c>
      <c r="H91">
        <v>342.62810000000002</v>
      </c>
      <c r="I91">
        <v>0.33728999999999998</v>
      </c>
      <c r="J91">
        <v>342.29081000000002</v>
      </c>
      <c r="K91">
        <v>2900.4325690387514</v>
      </c>
      <c r="L91" s="39">
        <v>100.15234314689879</v>
      </c>
      <c r="M91">
        <v>2852.6134198917571</v>
      </c>
      <c r="N91">
        <v>98.501141224300824</v>
      </c>
      <c r="O91">
        <v>128</v>
      </c>
      <c r="P91">
        <v>41.7</v>
      </c>
      <c r="Q91">
        <v>100</v>
      </c>
      <c r="R91">
        <v>3</v>
      </c>
      <c r="S91" t="s">
        <v>26</v>
      </c>
      <c r="T91" t="s">
        <v>26</v>
      </c>
      <c r="X91" s="59"/>
      <c r="Y91" s="326">
        <f>(Y90/12.01)*100.09</f>
        <v>29.136849686544672</v>
      </c>
      <c r="Z91" s="68" t="s">
        <v>2354</v>
      </c>
      <c r="AA91" s="59"/>
    </row>
    <row r="92" spans="1:27">
      <c r="A92" s="124">
        <v>44806</v>
      </c>
      <c r="B92">
        <v>8</v>
      </c>
      <c r="C92" t="s">
        <v>2365</v>
      </c>
      <c r="D92">
        <v>3792.4</v>
      </c>
      <c r="G92">
        <v>3791.6415200000001</v>
      </c>
      <c r="H92">
        <v>446.3066</v>
      </c>
      <c r="I92">
        <v>0.33728999999999998</v>
      </c>
      <c r="J92">
        <v>445.96931000000001</v>
      </c>
      <c r="K92">
        <v>3780.6820875207632</v>
      </c>
      <c r="L92" s="39">
        <v>99.710958105574363</v>
      </c>
      <c r="M92">
        <v>3716.6584710990842</v>
      </c>
      <c r="N92">
        <v>98.022411968394209</v>
      </c>
      <c r="O92">
        <v>128</v>
      </c>
      <c r="P92">
        <v>41.7</v>
      </c>
      <c r="Q92">
        <v>100</v>
      </c>
      <c r="R92">
        <v>3</v>
      </c>
      <c r="S92" t="s">
        <v>26</v>
      </c>
      <c r="T92" t="s">
        <v>26</v>
      </c>
    </row>
    <row r="93" spans="1:27">
      <c r="A93" s="124">
        <v>44806</v>
      </c>
      <c r="B93">
        <v>9</v>
      </c>
      <c r="C93" t="s">
        <v>2300</v>
      </c>
      <c r="H93">
        <v>0.41010000000000002</v>
      </c>
      <c r="I93">
        <v>0.33728999999999998</v>
      </c>
      <c r="J93">
        <v>7.2810000000000041E-2</v>
      </c>
      <c r="O93">
        <v>128</v>
      </c>
      <c r="P93">
        <v>41.7</v>
      </c>
      <c r="Q93">
        <v>100</v>
      </c>
      <c r="R93">
        <v>3</v>
      </c>
      <c r="S93" t="s">
        <v>26</v>
      </c>
      <c r="T93" t="s">
        <v>26</v>
      </c>
    </row>
    <row r="94" spans="1:27">
      <c r="A94" s="124">
        <v>44806</v>
      </c>
      <c r="B94">
        <v>10</v>
      </c>
      <c r="C94" t="s">
        <v>2301</v>
      </c>
      <c r="H94">
        <v>0.1862</v>
      </c>
      <c r="I94">
        <v>0.33728999999999998</v>
      </c>
      <c r="J94">
        <v>-0.15108999999999997</v>
      </c>
      <c r="O94">
        <v>128</v>
      </c>
      <c r="P94">
        <v>41.7</v>
      </c>
      <c r="Q94">
        <v>100</v>
      </c>
      <c r="R94">
        <v>3</v>
      </c>
      <c r="S94" t="s">
        <v>26</v>
      </c>
      <c r="T94" t="s">
        <v>26</v>
      </c>
    </row>
    <row r="95" spans="1:27">
      <c r="A95" s="124">
        <v>44806</v>
      </c>
      <c r="B95">
        <v>11</v>
      </c>
      <c r="C95" t="s">
        <v>2302</v>
      </c>
      <c r="D95">
        <v>1007.6</v>
      </c>
      <c r="H95">
        <v>14.210599999999999</v>
      </c>
      <c r="I95">
        <v>0.33728999999999998</v>
      </c>
      <c r="J95">
        <v>13.87331</v>
      </c>
      <c r="K95">
        <v>112.10763922141949</v>
      </c>
      <c r="L95" s="39">
        <v>11.126204765920949</v>
      </c>
      <c r="M95">
        <v>115.6186176436303</v>
      </c>
      <c r="N95">
        <v>11.474654390991494</v>
      </c>
      <c r="O95">
        <v>128</v>
      </c>
      <c r="P95">
        <v>41.7</v>
      </c>
      <c r="Q95">
        <v>100</v>
      </c>
      <c r="R95">
        <v>3</v>
      </c>
      <c r="S95" t="s">
        <v>26</v>
      </c>
      <c r="T95" t="s">
        <v>26</v>
      </c>
    </row>
    <row r="96" spans="1:27">
      <c r="A96" s="124">
        <v>44806</v>
      </c>
      <c r="B96">
        <v>12</v>
      </c>
      <c r="C96" t="s">
        <v>2302</v>
      </c>
      <c r="D96">
        <v>2101.1999999999998</v>
      </c>
      <c r="H96">
        <v>34.2928</v>
      </c>
      <c r="I96">
        <v>0.33728999999999998</v>
      </c>
      <c r="J96">
        <v>33.955509999999997</v>
      </c>
      <c r="K96">
        <v>282.60920782107576</v>
      </c>
      <c r="L96" s="39">
        <v>13.44989567014448</v>
      </c>
      <c r="M96">
        <v>282.98143179850121</v>
      </c>
      <c r="N96">
        <v>13.467610498691283</v>
      </c>
      <c r="O96">
        <v>128</v>
      </c>
      <c r="P96">
        <v>41.7</v>
      </c>
      <c r="Q96">
        <v>100</v>
      </c>
      <c r="R96">
        <v>3</v>
      </c>
      <c r="S96" t="s">
        <v>26</v>
      </c>
      <c r="T96" t="s">
        <v>26</v>
      </c>
    </row>
    <row r="97" spans="1:20">
      <c r="A97" s="124">
        <v>44806</v>
      </c>
      <c r="B97">
        <v>13</v>
      </c>
      <c r="C97" t="s">
        <v>2303</v>
      </c>
      <c r="H97">
        <v>0.22189999999999999</v>
      </c>
      <c r="I97">
        <v>0.33728999999999998</v>
      </c>
      <c r="J97">
        <v>-0.11538999999999999</v>
      </c>
      <c r="O97">
        <v>128</v>
      </c>
      <c r="P97">
        <v>41.7</v>
      </c>
      <c r="Q97">
        <v>100</v>
      </c>
      <c r="R97">
        <v>3</v>
      </c>
      <c r="S97" t="s">
        <v>26</v>
      </c>
      <c r="T97" t="s">
        <v>26</v>
      </c>
    </row>
    <row r="98" spans="1:20">
      <c r="A98" s="124">
        <v>44806</v>
      </c>
      <c r="B98">
        <v>14</v>
      </c>
      <c r="C98" t="s">
        <v>2304</v>
      </c>
      <c r="H98">
        <v>0.31809999999999999</v>
      </c>
      <c r="I98">
        <v>0.33728999999999998</v>
      </c>
      <c r="J98">
        <v>0.33728999999999998</v>
      </c>
      <c r="O98">
        <v>128</v>
      </c>
      <c r="P98">
        <v>41.7</v>
      </c>
      <c r="Q98">
        <v>100</v>
      </c>
      <c r="R98">
        <v>3</v>
      </c>
      <c r="S98" t="s">
        <v>26</v>
      </c>
      <c r="T98" t="s">
        <v>26</v>
      </c>
    </row>
    <row r="99" spans="1:20">
      <c r="A99" s="124">
        <v>44806</v>
      </c>
      <c r="B99">
        <v>15</v>
      </c>
      <c r="C99" t="s">
        <v>2366</v>
      </c>
      <c r="D99">
        <v>2941.3</v>
      </c>
      <c r="H99">
        <v>238.00890000000001</v>
      </c>
      <c r="I99">
        <v>0.33728999999999998</v>
      </c>
      <c r="J99">
        <v>237.67161000000002</v>
      </c>
      <c r="K99">
        <v>2012.196334679908</v>
      </c>
      <c r="L99" s="39">
        <v>68.411802083429365</v>
      </c>
      <c r="M99">
        <v>1980.7286798417988</v>
      </c>
      <c r="N99">
        <v>67.341946752857538</v>
      </c>
      <c r="O99">
        <v>128</v>
      </c>
      <c r="P99">
        <v>41.7</v>
      </c>
      <c r="Q99">
        <v>100</v>
      </c>
      <c r="R99">
        <v>3</v>
      </c>
      <c r="S99" t="s">
        <v>26</v>
      </c>
      <c r="T99" t="s">
        <v>26</v>
      </c>
    </row>
    <row r="100" spans="1:20">
      <c r="A100" s="124">
        <v>44806</v>
      </c>
      <c r="B100">
        <v>16</v>
      </c>
      <c r="C100" t="s">
        <v>2367</v>
      </c>
      <c r="D100">
        <v>2499.6999999999998</v>
      </c>
      <c r="H100">
        <v>210.1241</v>
      </c>
      <c r="I100">
        <v>0.33728999999999998</v>
      </c>
      <c r="J100">
        <v>209.78681</v>
      </c>
      <c r="K100">
        <v>1775.4492581600198</v>
      </c>
      <c r="L100" s="39">
        <v>71.026493505621474</v>
      </c>
      <c r="M100">
        <v>1748.3398678517901</v>
      </c>
      <c r="N100">
        <v>69.941987752601918</v>
      </c>
      <c r="O100">
        <v>128</v>
      </c>
      <c r="P100">
        <v>41.7</v>
      </c>
      <c r="Q100">
        <v>100</v>
      </c>
      <c r="R100">
        <v>3</v>
      </c>
      <c r="S100" t="s">
        <v>26</v>
      </c>
      <c r="T100" t="s">
        <v>26</v>
      </c>
    </row>
    <row r="101" spans="1:20">
      <c r="A101" s="124">
        <v>44806</v>
      </c>
      <c r="B101">
        <v>17</v>
      </c>
      <c r="C101" t="s">
        <v>2368</v>
      </c>
      <c r="D101">
        <v>2257.5</v>
      </c>
      <c r="H101">
        <v>187.83539999999999</v>
      </c>
      <c r="I101">
        <v>0.33728999999999998</v>
      </c>
      <c r="J101">
        <v>187.49811</v>
      </c>
      <c r="K101">
        <v>1586.2140990615565</v>
      </c>
      <c r="L101" s="39">
        <v>70.264190434620446</v>
      </c>
      <c r="M101">
        <v>1562.5883288842633</v>
      </c>
      <c r="N101">
        <v>69.217644690332804</v>
      </c>
      <c r="O101">
        <v>128</v>
      </c>
      <c r="P101">
        <v>41.7</v>
      </c>
      <c r="Q101">
        <v>100</v>
      </c>
      <c r="R101">
        <v>3</v>
      </c>
      <c r="S101" t="s">
        <v>26</v>
      </c>
      <c r="T101" t="s">
        <v>26</v>
      </c>
    </row>
    <row r="102" spans="1:20">
      <c r="A102" s="124">
        <v>44806</v>
      </c>
      <c r="B102">
        <v>18</v>
      </c>
      <c r="C102" t="s">
        <v>2369</v>
      </c>
      <c r="D102">
        <v>3073.5</v>
      </c>
      <c r="H102">
        <v>238.4315</v>
      </c>
      <c r="I102">
        <v>0.33728999999999998</v>
      </c>
      <c r="J102">
        <v>238.09421</v>
      </c>
      <c r="K102">
        <v>2015.7842863430828</v>
      </c>
      <c r="L102" s="39">
        <v>65.585953679618768</v>
      </c>
      <c r="M102">
        <v>1984.2505810907578</v>
      </c>
      <c r="N102">
        <v>64.559966848568664</v>
      </c>
      <c r="O102">
        <v>128</v>
      </c>
      <c r="P102">
        <v>41.7</v>
      </c>
      <c r="Q102">
        <v>100</v>
      </c>
      <c r="R102">
        <v>3</v>
      </c>
      <c r="S102" t="s">
        <v>26</v>
      </c>
      <c r="T102" t="s">
        <v>26</v>
      </c>
    </row>
    <row r="103" spans="1:20">
      <c r="A103" s="124">
        <v>44806</v>
      </c>
      <c r="B103">
        <v>19</v>
      </c>
      <c r="C103" t="s">
        <v>2370</v>
      </c>
      <c r="D103">
        <v>3037.6</v>
      </c>
      <c r="H103">
        <v>258.42750000000001</v>
      </c>
      <c r="I103">
        <v>0.33728999999999998</v>
      </c>
      <c r="J103">
        <v>258.09021000000001</v>
      </c>
      <c r="K103">
        <v>2185.5540011013632</v>
      </c>
      <c r="L103" s="39">
        <v>71.95002637283919</v>
      </c>
      <c r="M103">
        <v>2150.895014063281</v>
      </c>
      <c r="N103">
        <v>70.809027326286582</v>
      </c>
      <c r="O103">
        <v>128</v>
      </c>
      <c r="P103">
        <v>41.7</v>
      </c>
      <c r="Q103">
        <v>100</v>
      </c>
      <c r="R103">
        <v>3</v>
      </c>
      <c r="S103" t="s">
        <v>26</v>
      </c>
      <c r="T103" t="s">
        <v>26</v>
      </c>
    </row>
    <row r="104" spans="1:20">
      <c r="A104" s="124">
        <v>44806</v>
      </c>
      <c r="B104">
        <v>20</v>
      </c>
      <c r="C104" t="s">
        <v>2371</v>
      </c>
      <c r="D104">
        <v>2922.9</v>
      </c>
      <c r="H104">
        <v>248.60730000000001</v>
      </c>
      <c r="I104">
        <v>0.33728999999999998</v>
      </c>
      <c r="J104">
        <v>248.27001000000001</v>
      </c>
      <c r="K104">
        <v>2102.1786983973589</v>
      </c>
      <c r="L104" s="39">
        <v>71.920992794736691</v>
      </c>
      <c r="M104">
        <v>2069.0545629392172</v>
      </c>
      <c r="N104">
        <v>70.787730094742102</v>
      </c>
      <c r="O104">
        <v>128</v>
      </c>
      <c r="P104">
        <v>41.7</v>
      </c>
      <c r="Q104">
        <v>100</v>
      </c>
      <c r="R104">
        <v>3</v>
      </c>
      <c r="S104" t="s">
        <v>26</v>
      </c>
      <c r="T104" t="s">
        <v>26</v>
      </c>
    </row>
    <row r="105" spans="1:20">
      <c r="A105" s="124">
        <v>44806</v>
      </c>
      <c r="B105">
        <v>21</v>
      </c>
      <c r="C105" t="s">
        <v>2372</v>
      </c>
      <c r="D105">
        <v>2611.3000000000002</v>
      </c>
      <c r="H105">
        <v>203.82769999999999</v>
      </c>
      <c r="I105">
        <v>0.33728999999999998</v>
      </c>
      <c r="J105">
        <v>203.49041</v>
      </c>
      <c r="K105">
        <v>1721.9916650411944</v>
      </c>
      <c r="L105" s="39">
        <v>65.943846553103597</v>
      </c>
      <c r="M105">
        <v>1695.8663727643632</v>
      </c>
      <c r="N105">
        <v>64.943375819107843</v>
      </c>
      <c r="O105">
        <v>128</v>
      </c>
      <c r="P105">
        <v>41.7</v>
      </c>
      <c r="Q105">
        <v>100</v>
      </c>
      <c r="R105">
        <v>3</v>
      </c>
      <c r="S105" t="s">
        <v>26</v>
      </c>
      <c r="T105" t="s">
        <v>26</v>
      </c>
    </row>
    <row r="106" spans="1:20">
      <c r="A106" s="124">
        <v>44806</v>
      </c>
      <c r="B106">
        <v>22</v>
      </c>
      <c r="C106" t="s">
        <v>2312</v>
      </c>
      <c r="H106">
        <v>0.83199999999999996</v>
      </c>
      <c r="I106">
        <v>0.33728999999999998</v>
      </c>
      <c r="J106">
        <v>0.49470999999999998</v>
      </c>
      <c r="O106">
        <v>128</v>
      </c>
      <c r="P106">
        <v>41.7</v>
      </c>
      <c r="Q106">
        <v>100</v>
      </c>
      <c r="R106">
        <v>3</v>
      </c>
      <c r="S106" t="s">
        <v>26</v>
      </c>
      <c r="T106" t="s">
        <v>26</v>
      </c>
    </row>
    <row r="107" spans="1:20">
      <c r="A107" s="124">
        <v>44806</v>
      </c>
      <c r="B107">
        <v>23</v>
      </c>
      <c r="C107" t="s">
        <v>2373</v>
      </c>
      <c r="D107">
        <v>3116.3</v>
      </c>
      <c r="H107">
        <v>269.8519</v>
      </c>
      <c r="I107">
        <v>0.33728999999999998</v>
      </c>
      <c r="J107">
        <v>269.51461</v>
      </c>
      <c r="K107">
        <v>2282.5492566166909</v>
      </c>
      <c r="L107" s="39">
        <v>73.245491660516976</v>
      </c>
      <c r="M107">
        <v>2246.1046890008329</v>
      </c>
      <c r="N107">
        <v>72.076009658917073</v>
      </c>
      <c r="O107">
        <v>128</v>
      </c>
      <c r="P107">
        <v>41.7</v>
      </c>
      <c r="Q107">
        <v>100</v>
      </c>
      <c r="R107">
        <v>3</v>
      </c>
      <c r="S107" t="s">
        <v>26</v>
      </c>
      <c r="T107" t="s">
        <v>26</v>
      </c>
    </row>
    <row r="108" spans="1:20">
      <c r="A108" s="124">
        <v>44806</v>
      </c>
      <c r="B108">
        <v>24</v>
      </c>
      <c r="C108" t="s">
        <v>2374</v>
      </c>
      <c r="D108">
        <v>2677.3</v>
      </c>
      <c r="H108">
        <v>206.96729999999999</v>
      </c>
      <c r="I108">
        <v>0.33728999999999998</v>
      </c>
      <c r="J108">
        <v>206.63001</v>
      </c>
      <c r="K108">
        <v>1748.647446020145</v>
      </c>
      <c r="L108" s="39">
        <v>65.313840287608599</v>
      </c>
      <c r="M108">
        <v>1722.0314488676106</v>
      </c>
      <c r="N108">
        <v>64.319704510798587</v>
      </c>
      <c r="O108">
        <v>128</v>
      </c>
      <c r="P108">
        <v>41.7</v>
      </c>
      <c r="Q108">
        <v>100</v>
      </c>
      <c r="R108">
        <v>3</v>
      </c>
      <c r="S108" t="s">
        <v>26</v>
      </c>
      <c r="T108" t="s">
        <v>26</v>
      </c>
    </row>
    <row r="109" spans="1:20">
      <c r="A109" s="124">
        <v>44806</v>
      </c>
      <c r="B109">
        <v>25</v>
      </c>
      <c r="C109" t="s">
        <v>2375</v>
      </c>
      <c r="D109">
        <v>2330.9</v>
      </c>
      <c r="H109">
        <v>196.8133</v>
      </c>
      <c r="I109">
        <v>0.33728999999999998</v>
      </c>
      <c r="J109">
        <v>196.47601</v>
      </c>
      <c r="K109">
        <v>1662.4381199721568</v>
      </c>
      <c r="L109" s="39">
        <v>71.321726370593183</v>
      </c>
      <c r="M109">
        <v>1637.4091457868442</v>
      </c>
      <c r="N109">
        <v>70.247936238656493</v>
      </c>
      <c r="O109">
        <v>128</v>
      </c>
      <c r="P109">
        <v>41.7</v>
      </c>
      <c r="Q109">
        <v>100</v>
      </c>
      <c r="R109">
        <v>3</v>
      </c>
      <c r="S109" t="s">
        <v>26</v>
      </c>
      <c r="T109" t="s">
        <v>26</v>
      </c>
    </row>
    <row r="110" spans="1:20">
      <c r="A110" s="124">
        <v>44806</v>
      </c>
      <c r="B110">
        <v>26</v>
      </c>
      <c r="C110" t="s">
        <v>2376</v>
      </c>
      <c r="D110">
        <v>2075.6</v>
      </c>
      <c r="H110">
        <v>152.9537</v>
      </c>
      <c r="I110">
        <v>0.33728999999999998</v>
      </c>
      <c r="J110">
        <v>152.61641</v>
      </c>
      <c r="K110">
        <v>1290.0620556886875</v>
      </c>
      <c r="L110" s="39">
        <v>62.153693182149141</v>
      </c>
      <c r="M110">
        <v>1271.8881329641965</v>
      </c>
      <c r="N110">
        <v>61.278094669695349</v>
      </c>
      <c r="O110">
        <v>128</v>
      </c>
      <c r="P110">
        <v>41.7</v>
      </c>
      <c r="Q110">
        <v>100</v>
      </c>
      <c r="R110">
        <v>3</v>
      </c>
      <c r="S110" t="s">
        <v>26</v>
      </c>
      <c r="T110" t="s">
        <v>26</v>
      </c>
    </row>
    <row r="111" spans="1:20">
      <c r="A111" s="124">
        <v>44806</v>
      </c>
      <c r="B111">
        <v>27</v>
      </c>
      <c r="C111" t="s">
        <v>2377</v>
      </c>
      <c r="D111">
        <v>3027.7</v>
      </c>
      <c r="H111">
        <v>164.56790000000001</v>
      </c>
      <c r="I111">
        <v>0.33728999999999998</v>
      </c>
      <c r="J111">
        <v>164.23061000000001</v>
      </c>
      <c r="K111">
        <v>1388.6687480844475</v>
      </c>
      <c r="L111" s="39">
        <v>45.86546712304547</v>
      </c>
      <c r="M111">
        <v>1368.6795799250626</v>
      </c>
      <c r="N111">
        <v>45.205257453679785</v>
      </c>
      <c r="O111">
        <v>128</v>
      </c>
      <c r="P111">
        <v>41.7</v>
      </c>
      <c r="Q111">
        <v>100</v>
      </c>
      <c r="R111">
        <v>3</v>
      </c>
      <c r="S111" t="s">
        <v>26</v>
      </c>
      <c r="T111" t="s">
        <v>26</v>
      </c>
    </row>
    <row r="112" spans="1:20">
      <c r="A112" s="124">
        <v>44806</v>
      </c>
      <c r="B112">
        <v>28</v>
      </c>
      <c r="C112" t="s">
        <v>2378</v>
      </c>
      <c r="D112">
        <v>2078</v>
      </c>
      <c r="H112">
        <v>127.7467</v>
      </c>
      <c r="I112">
        <v>0.33728999999999998</v>
      </c>
      <c r="J112">
        <v>127.40941000000001</v>
      </c>
      <c r="K112">
        <v>1076.0499932806081</v>
      </c>
      <c r="L112" s="39">
        <v>51.782964065476811</v>
      </c>
      <c r="M112">
        <v>1061.8158074021651</v>
      </c>
      <c r="N112">
        <v>51.097969557370796</v>
      </c>
      <c r="O112">
        <v>128</v>
      </c>
      <c r="P112">
        <v>41.7</v>
      </c>
      <c r="Q112">
        <v>100</v>
      </c>
      <c r="R112">
        <v>3</v>
      </c>
      <c r="S112" t="s">
        <v>26</v>
      </c>
      <c r="T112" t="s">
        <v>26</v>
      </c>
    </row>
    <row r="113" spans="1:27">
      <c r="A113" s="124">
        <v>44806</v>
      </c>
      <c r="B113">
        <v>29</v>
      </c>
      <c r="C113" t="s">
        <v>2379</v>
      </c>
      <c r="D113">
        <v>2541.6</v>
      </c>
      <c r="H113">
        <v>180.2681</v>
      </c>
      <c r="I113">
        <v>0.33728999999999998</v>
      </c>
      <c r="J113">
        <v>179.93081000000001</v>
      </c>
      <c r="K113">
        <v>1521.9663313835044</v>
      </c>
      <c r="L113" s="39">
        <v>59.882213227238921</v>
      </c>
      <c r="M113">
        <v>1499.5232949958367</v>
      </c>
      <c r="N113">
        <v>58.999185355517653</v>
      </c>
      <c r="O113">
        <v>128</v>
      </c>
      <c r="P113">
        <v>41.7</v>
      </c>
      <c r="Q113">
        <v>100</v>
      </c>
      <c r="R113">
        <v>3</v>
      </c>
      <c r="S113" t="s">
        <v>26</v>
      </c>
      <c r="T113" t="s">
        <v>26</v>
      </c>
    </row>
    <row r="114" spans="1:27">
      <c r="A114" s="124">
        <v>44806</v>
      </c>
      <c r="B114">
        <v>30</v>
      </c>
      <c r="C114" t="s">
        <v>2320</v>
      </c>
      <c r="H114">
        <v>0.55589999999999995</v>
      </c>
      <c r="I114">
        <v>0.33728999999999998</v>
      </c>
      <c r="J114">
        <v>0.21860999999999997</v>
      </c>
      <c r="O114">
        <v>128</v>
      </c>
      <c r="P114">
        <v>41.7</v>
      </c>
      <c r="Q114">
        <v>100</v>
      </c>
      <c r="R114">
        <v>3</v>
      </c>
      <c r="S114" t="s">
        <v>26</v>
      </c>
      <c r="T114" t="s">
        <v>26</v>
      </c>
    </row>
    <row r="115" spans="1:27">
      <c r="A115" s="124">
        <v>44806</v>
      </c>
      <c r="B115">
        <v>31</v>
      </c>
      <c r="C115" t="s">
        <v>2380</v>
      </c>
      <c r="D115">
        <v>1913.2</v>
      </c>
      <c r="G115">
        <v>1912.81736</v>
      </c>
      <c r="H115">
        <v>226.65199999999999</v>
      </c>
      <c r="I115">
        <v>0.33728999999999998</v>
      </c>
      <c r="J115">
        <v>226.31470999999999</v>
      </c>
      <c r="K115">
        <v>1915.7741665693702</v>
      </c>
      <c r="L115" s="39">
        <v>100.15457861431005</v>
      </c>
      <c r="M115">
        <v>1886.0815423730226</v>
      </c>
      <c r="N115">
        <v>98.60228068889036</v>
      </c>
      <c r="O115">
        <v>128</v>
      </c>
      <c r="P115">
        <v>41.7</v>
      </c>
      <c r="Q115">
        <v>100</v>
      </c>
      <c r="R115">
        <v>3</v>
      </c>
      <c r="S115" t="s">
        <v>26</v>
      </c>
      <c r="T115" t="s">
        <v>26</v>
      </c>
    </row>
    <row r="116" spans="1:27">
      <c r="A116" s="124">
        <v>44806</v>
      </c>
      <c r="B116">
        <v>32</v>
      </c>
      <c r="C116" t="s">
        <v>2322</v>
      </c>
      <c r="H116">
        <v>0.32429999999999998</v>
      </c>
      <c r="I116">
        <v>0.33728999999999998</v>
      </c>
      <c r="J116">
        <v>-1.2990000000000002E-2</v>
      </c>
      <c r="O116">
        <v>128</v>
      </c>
      <c r="P116">
        <v>41.7</v>
      </c>
      <c r="Q116">
        <v>100</v>
      </c>
      <c r="R116">
        <v>3</v>
      </c>
      <c r="S116" t="s">
        <v>26</v>
      </c>
      <c r="T116" t="s">
        <v>26</v>
      </c>
    </row>
    <row r="119" spans="1:27">
      <c r="A119" t="s">
        <v>2381</v>
      </c>
    </row>
    <row r="120" spans="1:27">
      <c r="A120" t="s">
        <v>2290</v>
      </c>
    </row>
    <row r="121" spans="1:27">
      <c r="A121" t="s">
        <v>2382</v>
      </c>
      <c r="X121" s="327">
        <f>A122</f>
        <v>44809</v>
      </c>
      <c r="Y121" s="59"/>
      <c r="Z121" s="59"/>
      <c r="AA121" s="59"/>
    </row>
    <row r="122" spans="1:27">
      <c r="A122" s="124">
        <v>44809</v>
      </c>
      <c r="B122">
        <v>1</v>
      </c>
      <c r="C122" t="s">
        <v>2292</v>
      </c>
      <c r="H122">
        <v>0.27410000000000001</v>
      </c>
      <c r="X122" s="261">
        <f>((J124-INDEX(LINEST($H$124:$H$129,$G$124:$G$129),2))/INDEX(LINEST($H$124:$H$129,$G$124:$G$129),1)/100.09)*12.01</f>
        <v>-1.1611754976397584</v>
      </c>
      <c r="Y122" s="261">
        <f>(J124-X122)^2</f>
        <v>2.0445153413405941</v>
      </c>
      <c r="Z122" s="59"/>
      <c r="AA122" s="59"/>
    </row>
    <row r="123" spans="1:27">
      <c r="A123" s="124">
        <v>44809</v>
      </c>
      <c r="B123">
        <v>2</v>
      </c>
      <c r="C123" t="s">
        <v>2293</v>
      </c>
      <c r="H123">
        <v>0.22600000000000001</v>
      </c>
      <c r="X123" s="261">
        <f t="shared" ref="X123:X126" si="11">((J125-INDEX(LINEST($H$124:$H$129,$G$124:$G$129),2))/INDEX(LINEST($H$124:$H$129,$G$124:$G$129),1)/100.09)*12.01</f>
        <v>39.322959150938736</v>
      </c>
      <c r="Y123" s="261">
        <f t="shared" ref="Y123:Y126" si="12">(J125-X123)^2</f>
        <v>0.77325791574476055</v>
      </c>
      <c r="Z123" s="59"/>
      <c r="AA123" s="59"/>
    </row>
    <row r="124" spans="1:27">
      <c r="A124" s="124">
        <v>44809</v>
      </c>
      <c r="B124">
        <v>3</v>
      </c>
      <c r="C124" t="s">
        <v>2294</v>
      </c>
      <c r="G124">
        <v>0</v>
      </c>
      <c r="H124">
        <v>0.33239999999999997</v>
      </c>
      <c r="I124">
        <v>0.26869000000000004</v>
      </c>
      <c r="J124">
        <v>0.26869000000000004</v>
      </c>
      <c r="X124" s="261">
        <f t="shared" si="11"/>
        <v>120.41943179323847</v>
      </c>
      <c r="Y124" s="261">
        <f t="shared" si="12"/>
        <v>4.9917297693901033E-2</v>
      </c>
      <c r="Z124" s="59"/>
      <c r="AA124" s="59"/>
    </row>
    <row r="125" spans="1:27">
      <c r="A125" s="124">
        <v>44809</v>
      </c>
      <c r="B125">
        <v>4</v>
      </c>
      <c r="C125" t="s">
        <v>2383</v>
      </c>
      <c r="D125">
        <v>313.2</v>
      </c>
      <c r="G125">
        <v>313.13736</v>
      </c>
      <c r="H125">
        <v>40.470999999999997</v>
      </c>
      <c r="I125">
        <v>0.26869000000000004</v>
      </c>
      <c r="J125">
        <v>40.202309999999997</v>
      </c>
      <c r="K125">
        <v>329.35735414871795</v>
      </c>
      <c r="L125" s="39">
        <v>105.17983358763641</v>
      </c>
      <c r="M125">
        <v>335.04156601998335</v>
      </c>
      <c r="N125">
        <v>106.9950790988285</v>
      </c>
      <c r="O125">
        <v>128</v>
      </c>
      <c r="P125">
        <v>41.7</v>
      </c>
      <c r="Q125">
        <v>100</v>
      </c>
      <c r="R125">
        <v>3</v>
      </c>
      <c r="S125" t="s">
        <v>26</v>
      </c>
      <c r="T125" t="s">
        <v>26</v>
      </c>
      <c r="X125" s="261">
        <f t="shared" si="11"/>
        <v>227.58388415503833</v>
      </c>
      <c r="Y125" s="261">
        <f t="shared" si="12"/>
        <v>2.8246656154138119</v>
      </c>
      <c r="Z125" s="59"/>
      <c r="AA125" s="59"/>
    </row>
    <row r="126" spans="1:27" ht="15.5">
      <c r="A126" s="124">
        <v>44809</v>
      </c>
      <c r="B126">
        <v>5</v>
      </c>
      <c r="C126" t="s">
        <v>2384</v>
      </c>
      <c r="D126">
        <v>1009.7</v>
      </c>
      <c r="G126">
        <v>1009.4980600000001</v>
      </c>
      <c r="H126">
        <v>120.46469999999999</v>
      </c>
      <c r="I126">
        <v>0.26869000000000004</v>
      </c>
      <c r="J126">
        <v>120.19600999999999</v>
      </c>
      <c r="K126">
        <v>1005.3771856917983</v>
      </c>
      <c r="L126" s="39">
        <v>99.591789774395238</v>
      </c>
      <c r="M126">
        <v>1001.7001366278101</v>
      </c>
      <c r="N126">
        <v>99.227544491547619</v>
      </c>
      <c r="O126">
        <v>128</v>
      </c>
      <c r="P126">
        <v>41.7</v>
      </c>
      <c r="Q126">
        <v>100</v>
      </c>
      <c r="R126">
        <v>3</v>
      </c>
      <c r="S126" t="s">
        <v>26</v>
      </c>
      <c r="T126" t="s">
        <v>26</v>
      </c>
      <c r="X126" s="261">
        <f t="shared" si="11"/>
        <v>347.83266083876077</v>
      </c>
      <c r="Y126" s="261">
        <f t="shared" si="12"/>
        <v>10.994866784910387</v>
      </c>
      <c r="Z126" s="59"/>
      <c r="AA126" s="68" t="s">
        <v>2348</v>
      </c>
    </row>
    <row r="127" spans="1:27" ht="15.5">
      <c r="A127" s="124">
        <v>44809</v>
      </c>
      <c r="B127">
        <v>6</v>
      </c>
      <c r="C127" t="s">
        <v>2385</v>
      </c>
      <c r="D127">
        <v>1908.1</v>
      </c>
      <c r="G127">
        <v>1907.71838</v>
      </c>
      <c r="H127">
        <v>226.17189999999999</v>
      </c>
      <c r="I127">
        <v>0.26869000000000004</v>
      </c>
      <c r="J127">
        <v>225.90321</v>
      </c>
      <c r="K127">
        <v>1898.6995790414085</v>
      </c>
      <c r="L127" s="39">
        <v>99.527246733420299</v>
      </c>
      <c r="M127">
        <v>1882.6521472855954</v>
      </c>
      <c r="N127">
        <v>98.686062210376946</v>
      </c>
      <c r="O127">
        <v>128</v>
      </c>
      <c r="P127">
        <v>41.7</v>
      </c>
      <c r="Q127">
        <v>100</v>
      </c>
      <c r="R127">
        <v>3</v>
      </c>
      <c r="S127" t="s">
        <v>26</v>
      </c>
      <c r="T127" t="s">
        <v>26</v>
      </c>
      <c r="X127" s="59"/>
      <c r="Y127" s="326">
        <f>SQRT(SUM(Y122:Y126)/(6-2))</f>
        <v>2.0424998748533287</v>
      </c>
      <c r="Z127" s="68" t="s">
        <v>2353</v>
      </c>
      <c r="AA127" s="326">
        <f>(Y127/$AK$15)*100</f>
        <v>1.0263619413667413</v>
      </c>
    </row>
    <row r="128" spans="1:27" ht="15.5">
      <c r="A128" s="124">
        <v>44809</v>
      </c>
      <c r="B128">
        <v>7</v>
      </c>
      <c r="C128" t="s">
        <v>2386</v>
      </c>
      <c r="D128">
        <v>2898.4</v>
      </c>
      <c r="G128">
        <v>2897.8203200000003</v>
      </c>
      <c r="H128">
        <v>344.78550000000001</v>
      </c>
      <c r="I128">
        <v>0.26869000000000004</v>
      </c>
      <c r="J128">
        <v>344.51681000000002</v>
      </c>
      <c r="K128">
        <v>2901.0928411447785</v>
      </c>
      <c r="L128" s="39">
        <v>100.11293043679044</v>
      </c>
      <c r="M128">
        <v>2871.1646555287266</v>
      </c>
      <c r="N128">
        <v>99.080147782548735</v>
      </c>
      <c r="O128">
        <v>128</v>
      </c>
      <c r="P128">
        <v>41.7</v>
      </c>
      <c r="Q128">
        <v>100</v>
      </c>
      <c r="R128">
        <v>3</v>
      </c>
      <c r="S128" t="s">
        <v>26</v>
      </c>
      <c r="T128" t="s">
        <v>26</v>
      </c>
      <c r="X128" s="59"/>
      <c r="Y128" s="326">
        <f>(Y127/12.01)*100.09</f>
        <v>17.021966067782653</v>
      </c>
      <c r="Z128" s="68" t="s">
        <v>2354</v>
      </c>
      <c r="AA128" s="59"/>
    </row>
    <row r="129" spans="1:20">
      <c r="A129" s="124">
        <v>44809</v>
      </c>
      <c r="B129">
        <v>8</v>
      </c>
      <c r="C129" t="s">
        <v>2387</v>
      </c>
      <c r="D129">
        <v>3854.4</v>
      </c>
      <c r="G129">
        <v>3853.6291200000001</v>
      </c>
      <c r="H129">
        <v>457.70839999999998</v>
      </c>
      <c r="I129">
        <v>0.26869000000000004</v>
      </c>
      <c r="J129">
        <v>457.43970999999999</v>
      </c>
      <c r="K129">
        <v>3855.3944903416041</v>
      </c>
      <c r="L129" s="39">
        <v>100.04581059273301</v>
      </c>
      <c r="M129">
        <v>3812.2515049042468</v>
      </c>
      <c r="N129">
        <v>98.926268880391021</v>
      </c>
      <c r="O129">
        <v>128</v>
      </c>
      <c r="P129">
        <v>41.7</v>
      </c>
      <c r="Q129">
        <v>100</v>
      </c>
      <c r="R129">
        <v>3</v>
      </c>
      <c r="S129" t="s">
        <v>26</v>
      </c>
      <c r="T129" t="s">
        <v>26</v>
      </c>
    </row>
    <row r="130" spans="1:20">
      <c r="A130" s="124">
        <v>44809</v>
      </c>
      <c r="B130">
        <v>9</v>
      </c>
      <c r="C130" t="s">
        <v>2300</v>
      </c>
      <c r="H130">
        <v>0.50609999999999999</v>
      </c>
      <c r="I130">
        <v>0.26869000000000004</v>
      </c>
      <c r="J130">
        <v>0.23740999999999995</v>
      </c>
      <c r="O130">
        <v>128</v>
      </c>
      <c r="P130">
        <v>41.7</v>
      </c>
      <c r="Q130">
        <v>100</v>
      </c>
      <c r="R130">
        <v>3</v>
      </c>
      <c r="S130" t="s">
        <v>26</v>
      </c>
      <c r="T130" t="s">
        <v>26</v>
      </c>
    </row>
    <row r="131" spans="1:20">
      <c r="A131" s="124">
        <v>44809</v>
      </c>
      <c r="B131">
        <v>10</v>
      </c>
      <c r="C131" t="s">
        <v>2301</v>
      </c>
      <c r="H131">
        <v>0.36359999999999998</v>
      </c>
      <c r="I131">
        <v>0.26869000000000004</v>
      </c>
      <c r="J131">
        <v>9.4909999999999939E-2</v>
      </c>
      <c r="O131">
        <v>128</v>
      </c>
      <c r="P131">
        <v>41.7</v>
      </c>
      <c r="Q131">
        <v>100</v>
      </c>
      <c r="R131">
        <v>3</v>
      </c>
      <c r="S131" t="s">
        <v>26</v>
      </c>
      <c r="T131" t="s">
        <v>26</v>
      </c>
    </row>
    <row r="132" spans="1:20">
      <c r="A132" s="124">
        <v>44809</v>
      </c>
      <c r="B132">
        <v>11</v>
      </c>
      <c r="C132" t="s">
        <v>2302</v>
      </c>
      <c r="D132">
        <v>1015.6</v>
      </c>
      <c r="H132">
        <v>13.9399</v>
      </c>
      <c r="I132">
        <v>0.26869000000000004</v>
      </c>
      <c r="J132">
        <v>13.67121</v>
      </c>
      <c r="K132">
        <v>105.14532554330752</v>
      </c>
      <c r="L132" s="39">
        <v>10.353025358734493</v>
      </c>
      <c r="M132">
        <v>113.93433879267278</v>
      </c>
      <c r="N132">
        <v>11.218426427005983</v>
      </c>
      <c r="O132">
        <v>128</v>
      </c>
      <c r="P132">
        <v>41.7</v>
      </c>
      <c r="Q132">
        <v>100</v>
      </c>
      <c r="R132">
        <v>3</v>
      </c>
      <c r="S132" t="s">
        <v>26</v>
      </c>
      <c r="T132" t="s">
        <v>26</v>
      </c>
    </row>
    <row r="133" spans="1:20">
      <c r="A133" s="124">
        <v>44809</v>
      </c>
      <c r="B133">
        <v>12</v>
      </c>
      <c r="C133" t="s">
        <v>2302</v>
      </c>
      <c r="D133">
        <v>2000.5</v>
      </c>
      <c r="H133">
        <v>30.13</v>
      </c>
      <c r="I133">
        <v>0.26869000000000004</v>
      </c>
      <c r="J133">
        <v>29.86131</v>
      </c>
      <c r="K133">
        <v>241.96645864085929</v>
      </c>
      <c r="L133" s="39">
        <v>12.095299107266149</v>
      </c>
      <c r="M133">
        <v>248.86082580349711</v>
      </c>
      <c r="N133">
        <v>12.439931307348019</v>
      </c>
      <c r="O133">
        <v>128</v>
      </c>
      <c r="P133">
        <v>41.7</v>
      </c>
      <c r="Q133">
        <v>100</v>
      </c>
      <c r="R133">
        <v>3</v>
      </c>
      <c r="S133" t="s">
        <v>26</v>
      </c>
      <c r="T133" t="s">
        <v>26</v>
      </c>
    </row>
    <row r="134" spans="1:20">
      <c r="A134" s="124">
        <v>44809</v>
      </c>
      <c r="B134">
        <v>13</v>
      </c>
      <c r="C134" t="s">
        <v>2303</v>
      </c>
      <c r="H134">
        <v>0.22800000000000001</v>
      </c>
      <c r="I134">
        <v>0.26869000000000004</v>
      </c>
      <c r="J134">
        <v>-4.0690000000000032E-2</v>
      </c>
      <c r="O134">
        <v>128</v>
      </c>
      <c r="P134">
        <v>41.7</v>
      </c>
      <c r="Q134">
        <v>100</v>
      </c>
      <c r="R134">
        <v>3</v>
      </c>
      <c r="S134" t="s">
        <v>26</v>
      </c>
      <c r="T134" t="s">
        <v>26</v>
      </c>
    </row>
    <row r="135" spans="1:20">
      <c r="A135" s="124">
        <v>44809</v>
      </c>
      <c r="B135">
        <v>14</v>
      </c>
      <c r="C135" t="s">
        <v>2304</v>
      </c>
      <c r="H135">
        <v>0.24199999999999999</v>
      </c>
      <c r="I135">
        <v>0.26869000000000004</v>
      </c>
      <c r="J135">
        <v>0.26869000000000004</v>
      </c>
      <c r="O135">
        <v>128</v>
      </c>
      <c r="P135">
        <v>41.7</v>
      </c>
      <c r="Q135">
        <v>100</v>
      </c>
      <c r="R135">
        <v>3</v>
      </c>
      <c r="S135" t="s">
        <v>26</v>
      </c>
      <c r="T135" t="s">
        <v>26</v>
      </c>
    </row>
    <row r="136" spans="1:20">
      <c r="A136" s="124">
        <v>44809</v>
      </c>
      <c r="B136">
        <v>15</v>
      </c>
      <c r="C136" t="s">
        <v>2388</v>
      </c>
      <c r="D136">
        <v>2560.5</v>
      </c>
      <c r="H136">
        <v>194.36930000000001</v>
      </c>
      <c r="I136">
        <v>0.26869000000000004</v>
      </c>
      <c r="J136">
        <v>194.10061000000002</v>
      </c>
      <c r="K136">
        <v>1629.9385604282934</v>
      </c>
      <c r="L136" s="39">
        <v>63.657042000714448</v>
      </c>
      <c r="M136">
        <v>1617.6128272189844</v>
      </c>
      <c r="N136">
        <v>63.175662066744167</v>
      </c>
      <c r="O136">
        <v>128</v>
      </c>
      <c r="P136">
        <v>41.7</v>
      </c>
      <c r="Q136">
        <v>100</v>
      </c>
      <c r="R136">
        <v>3</v>
      </c>
      <c r="S136" t="s">
        <v>26</v>
      </c>
      <c r="T136" t="s">
        <v>26</v>
      </c>
    </row>
    <row r="137" spans="1:20">
      <c r="A137" s="124">
        <v>44809</v>
      </c>
      <c r="B137">
        <v>16</v>
      </c>
      <c r="C137" t="s">
        <v>2389</v>
      </c>
      <c r="D137">
        <v>3110.9</v>
      </c>
      <c r="H137">
        <v>233.62960000000001</v>
      </c>
      <c r="I137">
        <v>0.26869000000000004</v>
      </c>
      <c r="J137">
        <v>233.36091000000002</v>
      </c>
      <c r="K137">
        <v>1961.7239559323243</v>
      </c>
      <c r="L137" s="39">
        <v>63.059691919776405</v>
      </c>
      <c r="M137">
        <v>1944.8037870024982</v>
      </c>
      <c r="N137">
        <v>62.515792439567271</v>
      </c>
      <c r="O137">
        <v>128</v>
      </c>
      <c r="P137">
        <v>41.7</v>
      </c>
      <c r="Q137">
        <v>100</v>
      </c>
      <c r="R137">
        <v>3</v>
      </c>
      <c r="S137" t="s">
        <v>26</v>
      </c>
      <c r="T137" t="s">
        <v>26</v>
      </c>
    </row>
    <row r="138" spans="1:20">
      <c r="A138" s="124">
        <v>44809</v>
      </c>
      <c r="B138">
        <v>17</v>
      </c>
      <c r="C138" t="s">
        <v>2390</v>
      </c>
      <c r="D138">
        <v>2640.2</v>
      </c>
      <c r="H138">
        <v>211.19409999999999</v>
      </c>
      <c r="I138">
        <v>0.26869000000000004</v>
      </c>
      <c r="J138">
        <v>210.92541</v>
      </c>
      <c r="K138">
        <v>1772.1234882631854</v>
      </c>
      <c r="L138" s="39">
        <v>67.120804797484496</v>
      </c>
      <c r="M138">
        <v>1757.8288332139882</v>
      </c>
      <c r="N138">
        <v>66.579381607983791</v>
      </c>
      <c r="O138">
        <v>128</v>
      </c>
      <c r="P138">
        <v>41.7</v>
      </c>
      <c r="Q138">
        <v>100</v>
      </c>
      <c r="R138">
        <v>3</v>
      </c>
      <c r="S138" t="s">
        <v>26</v>
      </c>
      <c r="T138" t="s">
        <v>26</v>
      </c>
    </row>
    <row r="139" spans="1:20">
      <c r="A139" s="124">
        <v>44809</v>
      </c>
      <c r="B139">
        <v>18</v>
      </c>
      <c r="C139" t="s">
        <v>2391</v>
      </c>
      <c r="D139">
        <v>3024.4</v>
      </c>
      <c r="H139">
        <v>256.80900000000003</v>
      </c>
      <c r="I139">
        <v>0.26869000000000004</v>
      </c>
      <c r="J139">
        <v>256.54031000000003</v>
      </c>
      <c r="K139">
        <v>2157.6110580824898</v>
      </c>
      <c r="L139" s="39">
        <v>71.340135500677476</v>
      </c>
      <c r="M139">
        <v>2137.9783203913407</v>
      </c>
      <c r="N139">
        <v>70.690990622647163</v>
      </c>
      <c r="O139">
        <v>128</v>
      </c>
      <c r="P139">
        <v>41.7</v>
      </c>
      <c r="Q139">
        <v>100</v>
      </c>
      <c r="R139">
        <v>3</v>
      </c>
      <c r="S139" t="s">
        <v>26</v>
      </c>
      <c r="T139" t="s">
        <v>26</v>
      </c>
    </row>
    <row r="140" spans="1:20">
      <c r="A140" s="124">
        <v>44809</v>
      </c>
      <c r="B140">
        <v>19</v>
      </c>
      <c r="C140" t="s">
        <v>2392</v>
      </c>
      <c r="D140">
        <v>3008.3</v>
      </c>
      <c r="H140">
        <v>249.4254</v>
      </c>
      <c r="I140">
        <v>0.26869000000000004</v>
      </c>
      <c r="J140">
        <v>249.15671</v>
      </c>
      <c r="K140">
        <v>2095.2128938747896</v>
      </c>
      <c r="L140" s="39">
        <v>69.647737721463599</v>
      </c>
      <c r="M140">
        <v>2076.444221806828</v>
      </c>
      <c r="N140">
        <v>69.023841432265002</v>
      </c>
      <c r="O140">
        <v>128</v>
      </c>
      <c r="P140">
        <v>41.7</v>
      </c>
      <c r="Q140">
        <v>100</v>
      </c>
      <c r="R140">
        <v>3</v>
      </c>
      <c r="S140" t="s">
        <v>26</v>
      </c>
      <c r="T140" t="s">
        <v>26</v>
      </c>
    </row>
    <row r="141" spans="1:20">
      <c r="A141" s="124">
        <v>44809</v>
      </c>
      <c r="B141">
        <v>20</v>
      </c>
      <c r="C141" t="s">
        <v>2393</v>
      </c>
      <c r="D141">
        <v>2471</v>
      </c>
      <c r="H141">
        <v>217.35570000000001</v>
      </c>
      <c r="I141">
        <v>0.26869000000000004</v>
      </c>
      <c r="J141">
        <v>217.08701000000002</v>
      </c>
      <c r="K141">
        <v>1824.194636291541</v>
      </c>
      <c r="L141" s="39">
        <v>73.824145539924771</v>
      </c>
      <c r="M141">
        <v>1809.1789201415488</v>
      </c>
      <c r="N141">
        <v>73.216467832519172</v>
      </c>
      <c r="O141">
        <v>128</v>
      </c>
      <c r="P141">
        <v>41.7</v>
      </c>
      <c r="Q141">
        <v>100</v>
      </c>
      <c r="R141">
        <v>3</v>
      </c>
      <c r="S141" t="s">
        <v>26</v>
      </c>
      <c r="T141" t="s">
        <v>26</v>
      </c>
    </row>
    <row r="142" spans="1:20">
      <c r="A142" s="124">
        <v>44809</v>
      </c>
      <c r="B142">
        <v>21</v>
      </c>
      <c r="C142" t="s">
        <v>2394</v>
      </c>
      <c r="D142">
        <v>2234.8000000000002</v>
      </c>
      <c r="H142">
        <v>126.3092</v>
      </c>
      <c r="I142">
        <v>0.26869000000000004</v>
      </c>
      <c r="J142">
        <v>126.04051</v>
      </c>
      <c r="K142">
        <v>1054.7685490798344</v>
      </c>
      <c r="L142" s="39">
        <v>47.197447157680081</v>
      </c>
      <c r="M142">
        <v>1050.4075475353873</v>
      </c>
      <c r="N142">
        <v>47.002306583827959</v>
      </c>
      <c r="O142">
        <v>128</v>
      </c>
      <c r="P142">
        <v>41.7</v>
      </c>
      <c r="Q142">
        <v>100</v>
      </c>
      <c r="R142">
        <v>3</v>
      </c>
      <c r="S142" t="s">
        <v>26</v>
      </c>
      <c r="T142" t="s">
        <v>26</v>
      </c>
    </row>
    <row r="143" spans="1:20">
      <c r="A143" s="124">
        <v>44809</v>
      </c>
      <c r="B143">
        <v>22</v>
      </c>
      <c r="C143" t="s">
        <v>2312</v>
      </c>
      <c r="H143">
        <v>0.14000000000000001</v>
      </c>
      <c r="I143">
        <v>0.26869000000000004</v>
      </c>
      <c r="J143">
        <v>-0.12869000000000003</v>
      </c>
      <c r="O143">
        <v>128</v>
      </c>
      <c r="P143">
        <v>41.7</v>
      </c>
      <c r="Q143">
        <v>100</v>
      </c>
      <c r="R143">
        <v>3</v>
      </c>
      <c r="S143" t="s">
        <v>26</v>
      </c>
      <c r="T143" t="s">
        <v>26</v>
      </c>
    </row>
    <row r="144" spans="1:20">
      <c r="A144" s="124">
        <v>44809</v>
      </c>
      <c r="B144">
        <v>23</v>
      </c>
      <c r="C144" t="s">
        <v>2395</v>
      </c>
      <c r="D144">
        <v>2795.1</v>
      </c>
      <c r="H144">
        <v>230.43039999999999</v>
      </c>
      <c r="I144">
        <v>0.26869000000000004</v>
      </c>
      <c r="J144">
        <v>230.16171</v>
      </c>
      <c r="K144">
        <v>1934.6877937711461</v>
      </c>
      <c r="L144" s="39">
        <v>69.217122599232454</v>
      </c>
      <c r="M144">
        <v>1918.1420111490424</v>
      </c>
      <c r="N144">
        <v>68.625165867018808</v>
      </c>
      <c r="O144">
        <v>128</v>
      </c>
      <c r="P144">
        <v>41.7</v>
      </c>
      <c r="Q144">
        <v>100</v>
      </c>
      <c r="R144">
        <v>3</v>
      </c>
      <c r="S144" t="s">
        <v>26</v>
      </c>
      <c r="T144" t="s">
        <v>26</v>
      </c>
    </row>
    <row r="145" spans="1:27">
      <c r="A145" s="124">
        <v>44809</v>
      </c>
      <c r="B145">
        <v>24</v>
      </c>
      <c r="C145" t="s">
        <v>2396</v>
      </c>
      <c r="D145">
        <v>3015</v>
      </c>
      <c r="H145">
        <v>172.19030000000001</v>
      </c>
      <c r="I145">
        <v>0.26869000000000004</v>
      </c>
      <c r="J145">
        <v>171.92161000000002</v>
      </c>
      <c r="K145">
        <v>1442.5057520472085</v>
      </c>
      <c r="L145" s="39">
        <v>47.844303550487844</v>
      </c>
      <c r="M145">
        <v>1432.7755158118237</v>
      </c>
      <c r="N145">
        <v>47.521575980491669</v>
      </c>
      <c r="O145">
        <v>128</v>
      </c>
      <c r="P145">
        <v>41.7</v>
      </c>
      <c r="Q145">
        <v>100</v>
      </c>
      <c r="R145">
        <v>3</v>
      </c>
      <c r="S145" t="s">
        <v>26</v>
      </c>
      <c r="T145" t="s">
        <v>26</v>
      </c>
    </row>
    <row r="146" spans="1:27">
      <c r="A146" s="124">
        <v>44809</v>
      </c>
      <c r="B146">
        <v>25</v>
      </c>
      <c r="C146" t="s">
        <v>2397</v>
      </c>
      <c r="D146">
        <v>2851.2</v>
      </c>
      <c r="H146">
        <v>229.3004</v>
      </c>
      <c r="I146">
        <v>0.26869000000000004</v>
      </c>
      <c r="J146">
        <v>229.03171</v>
      </c>
      <c r="K146">
        <v>1925.1382616249437</v>
      </c>
      <c r="L146" s="39">
        <v>67.520281342064521</v>
      </c>
      <c r="M146">
        <v>1908.7247172273107</v>
      </c>
      <c r="N146">
        <v>66.944609891530263</v>
      </c>
      <c r="O146">
        <v>128</v>
      </c>
      <c r="P146">
        <v>41.7</v>
      </c>
      <c r="Q146">
        <v>100</v>
      </c>
      <c r="R146">
        <v>3</v>
      </c>
      <c r="S146" t="s">
        <v>26</v>
      </c>
      <c r="T146" t="s">
        <v>26</v>
      </c>
    </row>
    <row r="147" spans="1:27">
      <c r="A147" s="124">
        <v>44809</v>
      </c>
      <c r="B147">
        <v>26</v>
      </c>
      <c r="C147" t="s">
        <v>2398</v>
      </c>
      <c r="D147">
        <v>2864.2</v>
      </c>
      <c r="H147">
        <v>238.80359999999999</v>
      </c>
      <c r="I147">
        <v>0.26869000000000004</v>
      </c>
      <c r="J147">
        <v>238.53491</v>
      </c>
      <c r="K147">
        <v>2005.4489818831664</v>
      </c>
      <c r="L147" s="39">
        <v>70.017770472842912</v>
      </c>
      <c r="M147">
        <v>1987.9233257202332</v>
      </c>
      <c r="N147">
        <v>69.405883867056545</v>
      </c>
      <c r="O147">
        <v>128</v>
      </c>
      <c r="P147">
        <v>41.7</v>
      </c>
      <c r="Q147">
        <v>100</v>
      </c>
      <c r="R147">
        <v>3</v>
      </c>
      <c r="S147" t="s">
        <v>26</v>
      </c>
      <c r="T147" t="s">
        <v>26</v>
      </c>
    </row>
    <row r="148" spans="1:27">
      <c r="A148" s="124">
        <v>44809</v>
      </c>
      <c r="B148">
        <v>27</v>
      </c>
      <c r="C148" t="s">
        <v>2399</v>
      </c>
      <c r="D148">
        <v>2940.6</v>
      </c>
      <c r="H148">
        <v>251.50380000000001</v>
      </c>
      <c r="I148">
        <v>0.26869000000000004</v>
      </c>
      <c r="J148">
        <v>251.23511000000002</v>
      </c>
      <c r="K148">
        <v>2112.7772722930795</v>
      </c>
      <c r="L148" s="39">
        <v>71.848509565839606</v>
      </c>
      <c r="M148">
        <v>2093.7653755120737</v>
      </c>
      <c r="N148">
        <v>71.201978355168109</v>
      </c>
      <c r="O148">
        <v>128</v>
      </c>
      <c r="P148">
        <v>41.7</v>
      </c>
      <c r="Q148">
        <v>100</v>
      </c>
      <c r="R148">
        <v>3</v>
      </c>
      <c r="S148" t="s">
        <v>26</v>
      </c>
      <c r="T148" t="s">
        <v>26</v>
      </c>
    </row>
    <row r="149" spans="1:27">
      <c r="A149" s="124">
        <v>44809</v>
      </c>
      <c r="B149">
        <v>28</v>
      </c>
      <c r="C149" t="s">
        <v>2400</v>
      </c>
      <c r="D149">
        <v>2077.6999999999998</v>
      </c>
      <c r="H149">
        <v>180.40469999999999</v>
      </c>
      <c r="I149">
        <v>0.26869000000000004</v>
      </c>
      <c r="J149">
        <v>180.13601</v>
      </c>
      <c r="K149">
        <v>1511.924935110718</v>
      </c>
      <c r="L149" s="39">
        <v>72.769164706681337</v>
      </c>
      <c r="M149">
        <v>1501.2334089009159</v>
      </c>
      <c r="N149">
        <v>72.254580011595323</v>
      </c>
      <c r="O149">
        <v>128</v>
      </c>
      <c r="P149">
        <v>41.7</v>
      </c>
      <c r="Q149">
        <v>100</v>
      </c>
      <c r="R149">
        <v>3</v>
      </c>
      <c r="S149" t="s">
        <v>26</v>
      </c>
      <c r="T149" t="s">
        <v>26</v>
      </c>
    </row>
    <row r="150" spans="1:27">
      <c r="A150" s="124">
        <v>44809</v>
      </c>
      <c r="B150">
        <v>29</v>
      </c>
      <c r="C150" t="s">
        <v>2401</v>
      </c>
      <c r="D150">
        <v>2437.6999999999998</v>
      </c>
      <c r="H150">
        <v>212.12350000000001</v>
      </c>
      <c r="I150">
        <v>0.26869000000000004</v>
      </c>
      <c r="J150">
        <v>211.85481000000001</v>
      </c>
      <c r="K150">
        <v>1779.9777671806021</v>
      </c>
      <c r="L150" s="39">
        <v>73.018737628937203</v>
      </c>
      <c r="M150">
        <v>1765.5743491174023</v>
      </c>
      <c r="N150">
        <v>72.427876650834904</v>
      </c>
      <c r="O150">
        <v>128</v>
      </c>
      <c r="P150">
        <v>41.7</v>
      </c>
      <c r="Q150">
        <v>100</v>
      </c>
      <c r="R150">
        <v>3</v>
      </c>
      <c r="S150" t="s">
        <v>26</v>
      </c>
      <c r="T150" t="s">
        <v>26</v>
      </c>
    </row>
    <row r="151" spans="1:27">
      <c r="A151" s="124">
        <v>44809</v>
      </c>
      <c r="B151">
        <v>30</v>
      </c>
      <c r="C151" t="s">
        <v>2320</v>
      </c>
      <c r="H151">
        <v>0.14019999999999999</v>
      </c>
      <c r="I151">
        <v>0.26869000000000004</v>
      </c>
      <c r="J151">
        <v>-0.12849000000000005</v>
      </c>
      <c r="O151">
        <v>128</v>
      </c>
      <c r="P151">
        <v>41.7</v>
      </c>
      <c r="Q151">
        <v>100</v>
      </c>
      <c r="R151">
        <v>3</v>
      </c>
      <c r="S151" t="s">
        <v>26</v>
      </c>
      <c r="T151" t="s">
        <v>26</v>
      </c>
    </row>
    <row r="152" spans="1:27">
      <c r="A152" s="124">
        <v>44809</v>
      </c>
      <c r="B152">
        <v>31</v>
      </c>
      <c r="C152" t="s">
        <v>2402</v>
      </c>
      <c r="D152">
        <v>2094.1</v>
      </c>
      <c r="G152">
        <v>2093.68118</v>
      </c>
      <c r="H152">
        <v>248.97450000000001</v>
      </c>
      <c r="I152">
        <v>0.26869000000000004</v>
      </c>
      <c r="J152">
        <v>248.70581000000001</v>
      </c>
      <c r="K152">
        <v>2091.4023770210529</v>
      </c>
      <c r="L152" s="39">
        <v>99.891158071213724</v>
      </c>
      <c r="M152">
        <v>2072.6864715154038</v>
      </c>
      <c r="N152">
        <v>98.997234694319786</v>
      </c>
      <c r="O152">
        <v>128</v>
      </c>
      <c r="P152">
        <v>41.7</v>
      </c>
      <c r="Q152">
        <v>100</v>
      </c>
      <c r="R152">
        <v>3</v>
      </c>
      <c r="S152" t="s">
        <v>26</v>
      </c>
      <c r="T152" t="s">
        <v>26</v>
      </c>
    </row>
    <row r="153" spans="1:27">
      <c r="A153" s="124">
        <v>44809</v>
      </c>
      <c r="B153">
        <v>32</v>
      </c>
      <c r="C153" t="s">
        <v>2322</v>
      </c>
      <c r="H153">
        <v>0.23449999999999999</v>
      </c>
      <c r="I153">
        <v>0.26869000000000004</v>
      </c>
      <c r="J153">
        <v>-3.4190000000000054E-2</v>
      </c>
      <c r="O153">
        <v>128</v>
      </c>
      <c r="P153">
        <v>41.7</v>
      </c>
      <c r="Q153">
        <v>100</v>
      </c>
      <c r="R153">
        <v>3</v>
      </c>
      <c r="S153" t="s">
        <v>26</v>
      </c>
      <c r="T153" t="s">
        <v>26</v>
      </c>
    </row>
    <row r="155" spans="1:27">
      <c r="X155" s="327">
        <f>A156</f>
        <v>44810</v>
      </c>
      <c r="Y155" s="59"/>
      <c r="Z155" s="59"/>
      <c r="AA155" s="59"/>
    </row>
    <row r="156" spans="1:27">
      <c r="A156" s="124">
        <v>44810</v>
      </c>
      <c r="B156">
        <v>1</v>
      </c>
      <c r="C156" t="s">
        <v>2292</v>
      </c>
      <c r="H156">
        <v>0.2281</v>
      </c>
      <c r="X156" s="261">
        <f>((J158-INDEX(LINEST($H$158:$H$163,$G$158:$G$163),2))/INDEX(LINEST($H$158:$H$163,$G$158:$G$163),1)/100.09)*12.01</f>
        <v>-1.6002187583106075E-2</v>
      </c>
      <c r="Y156" s="261">
        <f>(J158-X156)^2</f>
        <v>0.12119602003139894</v>
      </c>
      <c r="Z156" s="59"/>
      <c r="AA156" s="59"/>
    </row>
    <row r="157" spans="1:27">
      <c r="A157" s="124">
        <v>44810</v>
      </c>
      <c r="B157">
        <v>2</v>
      </c>
      <c r="C157" t="s">
        <v>2293</v>
      </c>
      <c r="H157">
        <v>0.372</v>
      </c>
      <c r="X157" s="261">
        <f t="shared" ref="X157:X160" si="13">((J159-INDEX(LINEST($H$158:$H$163,$G$158:$G$163),2))/INDEX(LINEST($H$158:$H$163,$G$158:$G$163),1)/100.09)*12.01</f>
        <v>27.56712415637201</v>
      </c>
      <c r="Y157" s="261">
        <f t="shared" ref="Y157:Y160" si="14">(J159-X157)^2</f>
        <v>1.6266850476163075E-4</v>
      </c>
      <c r="Z157" s="59"/>
      <c r="AA157" s="59"/>
    </row>
    <row r="158" spans="1:27">
      <c r="A158" s="124">
        <v>44810</v>
      </c>
      <c r="B158">
        <v>3</v>
      </c>
      <c r="C158" t="s">
        <v>2294</v>
      </c>
      <c r="G158">
        <v>0</v>
      </c>
      <c r="H158">
        <v>0.32179999999999997</v>
      </c>
      <c r="I158">
        <v>0.33212999999999998</v>
      </c>
      <c r="J158">
        <v>0.33212999999999998</v>
      </c>
      <c r="X158" s="261">
        <f t="shared" si="13"/>
        <v>119.83694475192354</v>
      </c>
      <c r="Y158" s="261">
        <f t="shared" si="14"/>
        <v>1.4883383953309137</v>
      </c>
      <c r="Z158" s="59"/>
      <c r="AA158" s="59"/>
    </row>
    <row r="159" spans="1:27">
      <c r="A159" s="124">
        <v>44810</v>
      </c>
      <c r="B159">
        <v>4</v>
      </c>
      <c r="C159" t="s">
        <v>2403</v>
      </c>
      <c r="D159">
        <v>239.1</v>
      </c>
      <c r="G159">
        <v>239.05217999999999</v>
      </c>
      <c r="H159">
        <v>27.886500000000002</v>
      </c>
      <c r="I159">
        <v>0.33212999999999998</v>
      </c>
      <c r="J159">
        <v>27.554370000000002</v>
      </c>
      <c r="K159">
        <v>231.48906037964528</v>
      </c>
      <c r="L159" s="39">
        <v>96.836205542925939</v>
      </c>
      <c r="M159">
        <v>229.63504523730231</v>
      </c>
      <c r="N159">
        <v>96.060636316850278</v>
      </c>
      <c r="O159">
        <v>128</v>
      </c>
      <c r="P159">
        <v>41.7</v>
      </c>
      <c r="Q159">
        <v>100</v>
      </c>
      <c r="R159">
        <v>3</v>
      </c>
      <c r="S159" t="s">
        <v>26</v>
      </c>
      <c r="T159" t="s">
        <v>26</v>
      </c>
      <c r="X159" s="261">
        <f t="shared" si="13"/>
        <v>246.18969242590862</v>
      </c>
      <c r="Y159" s="261">
        <f t="shared" si="14"/>
        <v>8.2548324742591088</v>
      </c>
      <c r="Z159" s="59"/>
      <c r="AA159" s="59"/>
    </row>
    <row r="160" spans="1:27" ht="15.5">
      <c r="A160" s="124">
        <v>44810</v>
      </c>
      <c r="B160">
        <v>5</v>
      </c>
      <c r="C160" t="s">
        <v>2404</v>
      </c>
      <c r="D160">
        <v>1000.5</v>
      </c>
      <c r="G160">
        <v>1000.2999</v>
      </c>
      <c r="H160">
        <v>118.9491</v>
      </c>
      <c r="I160">
        <v>0.33212999999999998</v>
      </c>
      <c r="J160">
        <v>118.61696999999999</v>
      </c>
      <c r="K160">
        <v>1000.7459842021001</v>
      </c>
      <c r="L160" s="39">
        <v>100.04459504615566</v>
      </c>
      <c r="M160">
        <v>988.54059344712743</v>
      </c>
      <c r="N160">
        <v>98.824421900584767</v>
      </c>
      <c r="O160">
        <v>128</v>
      </c>
      <c r="P160">
        <v>41.7</v>
      </c>
      <c r="Q160">
        <v>100</v>
      </c>
      <c r="R160">
        <v>3</v>
      </c>
      <c r="S160" t="s">
        <v>26</v>
      </c>
      <c r="T160" t="s">
        <v>26</v>
      </c>
      <c r="X160" s="261">
        <f t="shared" si="13"/>
        <v>377.53060318561546</v>
      </c>
      <c r="Y160" s="261">
        <f t="shared" si="14"/>
        <v>21.082176994607931</v>
      </c>
      <c r="Z160" s="59"/>
      <c r="AA160" s="68" t="s">
        <v>2348</v>
      </c>
    </row>
    <row r="161" spans="1:27" ht="15.5">
      <c r="A161" s="124">
        <v>44810</v>
      </c>
      <c r="B161">
        <v>6</v>
      </c>
      <c r="C161" t="s">
        <v>2405</v>
      </c>
      <c r="D161">
        <v>2050.9</v>
      </c>
      <c r="G161">
        <v>2050.4898200000002</v>
      </c>
      <c r="H161">
        <v>243.64869999999999</v>
      </c>
      <c r="I161">
        <v>0.33212999999999998</v>
      </c>
      <c r="J161">
        <v>243.31656999999998</v>
      </c>
      <c r="K161">
        <v>2054.1535378837498</v>
      </c>
      <c r="L161" s="39">
        <v>100.17867525349379</v>
      </c>
      <c r="M161">
        <v>2027.7731466527891</v>
      </c>
      <c r="N161">
        <v>98.892134302465777</v>
      </c>
      <c r="O161">
        <v>128</v>
      </c>
      <c r="P161">
        <v>41.7</v>
      </c>
      <c r="Q161">
        <v>100</v>
      </c>
      <c r="R161">
        <v>3</v>
      </c>
      <c r="S161" t="s">
        <v>26</v>
      </c>
      <c r="T161" t="s">
        <v>26</v>
      </c>
      <c r="X161" s="59"/>
      <c r="Y161" s="326">
        <f>SQRT(SUM(Y156:Y160)/(6-2))</f>
        <v>2.7814882056524217</v>
      </c>
      <c r="Z161" s="68" t="s">
        <v>2353</v>
      </c>
      <c r="AA161" s="326">
        <f>(Y161/$AK$15)*100</f>
        <v>1.3977056595154584</v>
      </c>
    </row>
    <row r="162" spans="1:27" ht="15.5">
      <c r="A162" s="124">
        <v>44810</v>
      </c>
      <c r="B162">
        <v>7</v>
      </c>
      <c r="C162" t="s">
        <v>2406</v>
      </c>
      <c r="D162">
        <v>3135.2</v>
      </c>
      <c r="G162">
        <v>3134.57296</v>
      </c>
      <c r="H162">
        <v>373.27120000000002</v>
      </c>
      <c r="I162">
        <v>0.33212999999999998</v>
      </c>
      <c r="J162">
        <v>372.93907000000002</v>
      </c>
      <c r="K162">
        <v>3149.1475926128724</v>
      </c>
      <c r="L162" s="39">
        <v>100.46496389775761</v>
      </c>
      <c r="M162">
        <v>3108.0325991923396</v>
      </c>
      <c r="N162">
        <v>99.153302183540163</v>
      </c>
      <c r="O162">
        <v>128</v>
      </c>
      <c r="P162">
        <v>41.7</v>
      </c>
      <c r="Q162">
        <v>100</v>
      </c>
      <c r="R162">
        <v>3</v>
      </c>
      <c r="S162" t="s">
        <v>26</v>
      </c>
      <c r="T162" t="s">
        <v>26</v>
      </c>
      <c r="X162" s="59"/>
      <c r="Y162" s="326">
        <f>(Y161/12.01)*100.09</f>
        <v>23.180612365008404</v>
      </c>
      <c r="Z162" s="68" t="s">
        <v>2354</v>
      </c>
      <c r="AA162" s="59"/>
    </row>
    <row r="163" spans="1:27">
      <c r="A163" s="124">
        <v>44810</v>
      </c>
      <c r="B163">
        <v>8</v>
      </c>
      <c r="C163" t="s">
        <v>2407</v>
      </c>
      <c r="D163">
        <v>4098.8999999999996</v>
      </c>
      <c r="G163">
        <v>4098.0802199999998</v>
      </c>
      <c r="H163">
        <v>484.10599999999999</v>
      </c>
      <c r="I163">
        <v>0.33212999999999998</v>
      </c>
      <c r="J163">
        <v>483.77386999999999</v>
      </c>
      <c r="K163">
        <v>4085.4313940909433</v>
      </c>
      <c r="L163" s="39">
        <v>99.691347527866185</v>
      </c>
      <c r="M163">
        <v>4031.7174561448796</v>
      </c>
      <c r="N163">
        <v>98.38063775493589</v>
      </c>
      <c r="O163">
        <v>128</v>
      </c>
      <c r="P163">
        <v>41.7</v>
      </c>
      <c r="Q163">
        <v>100</v>
      </c>
      <c r="R163">
        <v>3</v>
      </c>
      <c r="S163" t="s">
        <v>26</v>
      </c>
      <c r="T163" t="s">
        <v>26</v>
      </c>
    </row>
    <row r="164" spans="1:27">
      <c r="A164" s="124">
        <v>44810</v>
      </c>
      <c r="B164">
        <v>9</v>
      </c>
      <c r="C164" t="s">
        <v>2300</v>
      </c>
      <c r="H164">
        <v>0.55610000000000004</v>
      </c>
      <c r="I164">
        <v>0.33212999999999998</v>
      </c>
      <c r="J164">
        <v>0.22397000000000006</v>
      </c>
      <c r="O164">
        <v>128</v>
      </c>
      <c r="P164">
        <v>41.7</v>
      </c>
      <c r="Q164">
        <v>100</v>
      </c>
      <c r="R164">
        <v>3</v>
      </c>
      <c r="S164" t="s">
        <v>26</v>
      </c>
      <c r="T164" t="s">
        <v>26</v>
      </c>
    </row>
    <row r="165" spans="1:27">
      <c r="A165" s="124">
        <v>44810</v>
      </c>
      <c r="B165">
        <v>10</v>
      </c>
      <c r="C165" t="s">
        <v>2301</v>
      </c>
      <c r="H165">
        <v>0.2722</v>
      </c>
      <c r="I165">
        <v>0.33212999999999998</v>
      </c>
      <c r="J165">
        <v>-5.9929999999999983E-2</v>
      </c>
      <c r="O165">
        <v>128</v>
      </c>
      <c r="P165">
        <v>41.7</v>
      </c>
      <c r="Q165">
        <v>100</v>
      </c>
      <c r="R165">
        <v>3</v>
      </c>
      <c r="S165" t="s">
        <v>26</v>
      </c>
      <c r="T165" t="s">
        <v>26</v>
      </c>
    </row>
    <row r="166" spans="1:27">
      <c r="A166" s="124">
        <v>44810</v>
      </c>
      <c r="B166">
        <v>11</v>
      </c>
      <c r="C166" t="s">
        <v>2302</v>
      </c>
      <c r="D166">
        <v>1258.8</v>
      </c>
      <c r="H166">
        <v>17.72</v>
      </c>
      <c r="I166">
        <v>0.33212999999999998</v>
      </c>
      <c r="J166">
        <v>17.387869999999999</v>
      </c>
      <c r="K166">
        <v>145.60692527652949</v>
      </c>
      <c r="L166" s="39">
        <v>11.567121486854901</v>
      </c>
      <c r="M166">
        <v>144.90856855120734</v>
      </c>
      <c r="N166">
        <v>11.511643513759719</v>
      </c>
      <c r="O166">
        <v>128</v>
      </c>
      <c r="P166">
        <v>41.7</v>
      </c>
      <c r="Q166">
        <v>100</v>
      </c>
      <c r="R166">
        <v>3</v>
      </c>
      <c r="S166" t="s">
        <v>26</v>
      </c>
      <c r="T166" t="s">
        <v>26</v>
      </c>
    </row>
    <row r="167" spans="1:27">
      <c r="A167" s="124">
        <v>44810</v>
      </c>
      <c r="B167">
        <v>12</v>
      </c>
      <c r="C167" t="s">
        <v>2302</v>
      </c>
      <c r="D167">
        <v>1999.5</v>
      </c>
      <c r="H167">
        <v>29.174700000000001</v>
      </c>
      <c r="I167">
        <v>0.33212999999999998</v>
      </c>
      <c r="J167">
        <v>28.842570000000002</v>
      </c>
      <c r="K167">
        <v>242.37120924502014</v>
      </c>
      <c r="L167" s="39">
        <v>12.121590859965998</v>
      </c>
      <c r="M167">
        <v>240.37076030807663</v>
      </c>
      <c r="N167">
        <v>12.021543401254146</v>
      </c>
      <c r="O167">
        <v>128</v>
      </c>
      <c r="P167">
        <v>41.7</v>
      </c>
      <c r="Q167">
        <v>100</v>
      </c>
      <c r="R167">
        <v>3</v>
      </c>
      <c r="S167" t="s">
        <v>26</v>
      </c>
      <c r="T167" t="s">
        <v>26</v>
      </c>
    </row>
    <row r="168" spans="1:27">
      <c r="A168" s="124">
        <v>44810</v>
      </c>
      <c r="B168">
        <v>13</v>
      </c>
      <c r="C168" t="s">
        <v>2303</v>
      </c>
      <c r="H168">
        <v>0.23449999999999999</v>
      </c>
      <c r="I168">
        <v>0.33212999999999998</v>
      </c>
      <c r="J168">
        <v>-9.7629999999999995E-2</v>
      </c>
      <c r="O168">
        <v>128</v>
      </c>
      <c r="P168">
        <v>41.7</v>
      </c>
      <c r="Q168">
        <v>100</v>
      </c>
      <c r="R168">
        <v>3</v>
      </c>
      <c r="S168" t="s">
        <v>26</v>
      </c>
      <c r="T168" t="s">
        <v>26</v>
      </c>
    </row>
    <row r="169" spans="1:27">
      <c r="A169" s="124">
        <v>44810</v>
      </c>
      <c r="B169">
        <v>14</v>
      </c>
      <c r="C169" t="s">
        <v>2304</v>
      </c>
      <c r="H169">
        <v>0.37190000000000001</v>
      </c>
      <c r="I169">
        <v>0.33212999999999998</v>
      </c>
      <c r="J169">
        <v>0.33212999999999998</v>
      </c>
      <c r="O169">
        <v>128</v>
      </c>
      <c r="P169">
        <v>41.7</v>
      </c>
      <c r="Q169">
        <v>100</v>
      </c>
      <c r="R169">
        <v>3</v>
      </c>
      <c r="S169" t="s">
        <v>26</v>
      </c>
      <c r="T169" t="s">
        <v>26</v>
      </c>
    </row>
    <row r="170" spans="1:27">
      <c r="A170" s="124">
        <v>44810</v>
      </c>
      <c r="B170">
        <v>15</v>
      </c>
      <c r="C170" t="s">
        <v>2408</v>
      </c>
      <c r="D170">
        <v>3127.5</v>
      </c>
      <c r="H170">
        <v>273.50420000000003</v>
      </c>
      <c r="I170">
        <v>0.33212999999999998</v>
      </c>
      <c r="J170">
        <v>273.17207000000002</v>
      </c>
      <c r="K170">
        <v>2306.3597135165705</v>
      </c>
      <c r="L170" s="39">
        <v>73.744515220353975</v>
      </c>
      <c r="M170">
        <v>2276.5855525645302</v>
      </c>
      <c r="N170">
        <v>72.792503679121666</v>
      </c>
      <c r="O170">
        <v>128</v>
      </c>
      <c r="P170">
        <v>41.7</v>
      </c>
      <c r="Q170">
        <v>100</v>
      </c>
      <c r="R170">
        <v>3</v>
      </c>
      <c r="S170" t="s">
        <v>26</v>
      </c>
      <c r="T170" t="s">
        <v>26</v>
      </c>
    </row>
    <row r="171" spans="1:27">
      <c r="A171" s="124">
        <v>44810</v>
      </c>
      <c r="B171">
        <v>16</v>
      </c>
      <c r="C171" t="s">
        <v>2409</v>
      </c>
      <c r="D171">
        <v>2384.6</v>
      </c>
      <c r="H171">
        <v>202.9408</v>
      </c>
      <c r="I171">
        <v>0.33212999999999998</v>
      </c>
      <c r="J171">
        <v>202.60866999999999</v>
      </c>
      <c r="K171">
        <v>1710.271044639848</v>
      </c>
      <c r="L171" s="39">
        <v>71.72150652687445</v>
      </c>
      <c r="M171">
        <v>1688.5180499833473</v>
      </c>
      <c r="N171">
        <v>70.809278284968016</v>
      </c>
      <c r="O171">
        <v>128</v>
      </c>
      <c r="P171">
        <v>41.7</v>
      </c>
      <c r="Q171">
        <v>100</v>
      </c>
      <c r="R171">
        <v>3</v>
      </c>
      <c r="S171" t="s">
        <v>26</v>
      </c>
      <c r="T171" t="s">
        <v>26</v>
      </c>
    </row>
    <row r="172" spans="1:27">
      <c r="A172" s="124">
        <v>44810</v>
      </c>
      <c r="B172">
        <v>17</v>
      </c>
      <c r="C172" t="s">
        <v>2410</v>
      </c>
      <c r="D172">
        <v>2270.4</v>
      </c>
      <c r="H172">
        <v>193.6335</v>
      </c>
      <c r="I172">
        <v>0.33212999999999998</v>
      </c>
      <c r="J172">
        <v>193.30136999999999</v>
      </c>
      <c r="K172">
        <v>1631.647054471626</v>
      </c>
      <c r="L172" s="39">
        <v>71.866061243464856</v>
      </c>
      <c r="M172">
        <v>1610.9520502331391</v>
      </c>
      <c r="N172">
        <v>70.954547667069193</v>
      </c>
      <c r="O172">
        <v>128</v>
      </c>
      <c r="P172">
        <v>41.7</v>
      </c>
      <c r="Q172">
        <v>100</v>
      </c>
      <c r="R172">
        <v>3</v>
      </c>
      <c r="S172" t="s">
        <v>26</v>
      </c>
      <c r="T172" t="s">
        <v>26</v>
      </c>
    </row>
    <row r="173" spans="1:27">
      <c r="A173" s="124">
        <v>44810</v>
      </c>
      <c r="B173">
        <v>18</v>
      </c>
      <c r="C173" t="s">
        <v>2411</v>
      </c>
      <c r="D173">
        <v>2308.4</v>
      </c>
      <c r="H173">
        <v>189.85890000000001</v>
      </c>
      <c r="I173">
        <v>0.33212999999999998</v>
      </c>
      <c r="J173">
        <v>189.52677</v>
      </c>
      <c r="K173">
        <v>1599.7608884203578</v>
      </c>
      <c r="L173" s="39">
        <v>69.301719304295517</v>
      </c>
      <c r="M173">
        <v>1579.4949549791841</v>
      </c>
      <c r="N173">
        <v>68.4237980843521</v>
      </c>
      <c r="O173">
        <v>128</v>
      </c>
      <c r="P173">
        <v>41.7</v>
      </c>
      <c r="Q173">
        <v>100</v>
      </c>
      <c r="R173">
        <v>3</v>
      </c>
      <c r="S173" t="s">
        <v>26</v>
      </c>
      <c r="T173" t="s">
        <v>26</v>
      </c>
    </row>
    <row r="174" spans="1:27">
      <c r="A174" s="124">
        <v>44810</v>
      </c>
      <c r="B174">
        <v>19</v>
      </c>
      <c r="C174" t="s">
        <v>2412</v>
      </c>
      <c r="D174">
        <v>2443.8000000000002</v>
      </c>
      <c r="H174">
        <v>145.92250000000001</v>
      </c>
      <c r="I174">
        <v>0.33212999999999998</v>
      </c>
      <c r="J174">
        <v>145.59037000000001</v>
      </c>
      <c r="K174">
        <v>1228.605442520143</v>
      </c>
      <c r="L174" s="39">
        <v>50.274385895742</v>
      </c>
      <c r="M174">
        <v>1213.3338995253957</v>
      </c>
      <c r="N174">
        <v>49.64947620612962</v>
      </c>
      <c r="O174">
        <v>128</v>
      </c>
      <c r="P174">
        <v>41.7</v>
      </c>
      <c r="Q174">
        <v>100</v>
      </c>
      <c r="R174">
        <v>3</v>
      </c>
      <c r="S174" t="s">
        <v>26</v>
      </c>
      <c r="T174" t="s">
        <v>26</v>
      </c>
    </row>
    <row r="175" spans="1:27">
      <c r="A175" s="124">
        <v>44810</v>
      </c>
      <c r="B175">
        <v>20</v>
      </c>
      <c r="C175" t="s">
        <v>2413</v>
      </c>
      <c r="D175">
        <v>2432.9</v>
      </c>
      <c r="H175">
        <v>160.93090000000001</v>
      </c>
      <c r="I175">
        <v>0.33212999999999998</v>
      </c>
      <c r="J175">
        <v>160.59877</v>
      </c>
      <c r="K175">
        <v>1355.3898261803604</v>
      </c>
      <c r="L175" s="39">
        <v>55.710872875184357</v>
      </c>
      <c r="M175">
        <v>1338.4122305828478</v>
      </c>
      <c r="N175">
        <v>55.013039195316196</v>
      </c>
      <c r="O175">
        <v>128</v>
      </c>
      <c r="P175">
        <v>41.7</v>
      </c>
      <c r="Q175">
        <v>100</v>
      </c>
      <c r="R175">
        <v>3</v>
      </c>
      <c r="S175" t="s">
        <v>26</v>
      </c>
      <c r="T175" t="s">
        <v>26</v>
      </c>
    </row>
    <row r="176" spans="1:27">
      <c r="A176" s="124">
        <v>44810</v>
      </c>
      <c r="B176">
        <v>21</v>
      </c>
      <c r="C176" t="s">
        <v>2414</v>
      </c>
      <c r="D176">
        <v>2842</v>
      </c>
      <c r="H176">
        <v>243.2971</v>
      </c>
      <c r="I176">
        <v>0.33212999999999998</v>
      </c>
      <c r="J176">
        <v>242.96496999999999</v>
      </c>
      <c r="K176">
        <v>2051.1833752218449</v>
      </c>
      <c r="L176" s="39">
        <v>72.17394001484324</v>
      </c>
      <c r="M176">
        <v>2024.8429514820982</v>
      </c>
      <c r="N176">
        <v>71.24711300077756</v>
      </c>
      <c r="O176">
        <v>128</v>
      </c>
      <c r="P176">
        <v>41.7</v>
      </c>
      <c r="Q176">
        <v>100</v>
      </c>
      <c r="R176">
        <v>3</v>
      </c>
      <c r="S176" t="s">
        <v>26</v>
      </c>
      <c r="T176" t="s">
        <v>26</v>
      </c>
    </row>
    <row r="177" spans="1:20">
      <c r="A177" s="124">
        <v>44810</v>
      </c>
      <c r="B177">
        <v>23</v>
      </c>
      <c r="C177" t="s">
        <v>2312</v>
      </c>
      <c r="H177">
        <v>0</v>
      </c>
      <c r="I177">
        <v>0.33212999999999998</v>
      </c>
      <c r="J177">
        <v>-0.33212999999999998</v>
      </c>
      <c r="M177">
        <v>-2.767934363030808</v>
      </c>
      <c r="O177">
        <v>128</v>
      </c>
      <c r="P177">
        <v>41.7</v>
      </c>
      <c r="Q177">
        <v>100</v>
      </c>
      <c r="R177">
        <v>3</v>
      </c>
      <c r="S177" t="s">
        <v>26</v>
      </c>
      <c r="T177" t="s">
        <v>26</v>
      </c>
    </row>
    <row r="178" spans="1:20">
      <c r="A178" s="124">
        <v>44810</v>
      </c>
      <c r="B178">
        <v>22</v>
      </c>
      <c r="C178" t="s">
        <v>2415</v>
      </c>
      <c r="D178">
        <v>2464.3000000000002</v>
      </c>
      <c r="H178">
        <v>188.19560000000001</v>
      </c>
      <c r="I178">
        <v>0.33212999999999998</v>
      </c>
      <c r="J178">
        <v>187.86347000000001</v>
      </c>
      <c r="K178">
        <v>1585.7100591952544</v>
      </c>
      <c r="L178" s="39">
        <v>64.347281548320183</v>
      </c>
      <c r="M178">
        <v>1565.6331983597004</v>
      </c>
      <c r="N178">
        <v>63.532573077941009</v>
      </c>
      <c r="O178">
        <v>128</v>
      </c>
      <c r="P178">
        <v>41.7</v>
      </c>
      <c r="Q178">
        <v>100</v>
      </c>
      <c r="R178">
        <v>3</v>
      </c>
      <c r="S178" t="s">
        <v>26</v>
      </c>
      <c r="T178" t="s">
        <v>26</v>
      </c>
    </row>
    <row r="179" spans="1:20">
      <c r="A179" s="124">
        <v>44810</v>
      </c>
      <c r="B179">
        <v>24</v>
      </c>
      <c r="C179" t="s">
        <v>2416</v>
      </c>
      <c r="D179">
        <v>2899.1</v>
      </c>
      <c r="H179">
        <v>249.1748</v>
      </c>
      <c r="I179">
        <v>0.33212999999999998</v>
      </c>
      <c r="J179">
        <v>248.84267</v>
      </c>
      <c r="K179">
        <v>2100.8356080940803</v>
      </c>
      <c r="L179" s="39">
        <v>72.465096343488682</v>
      </c>
      <c r="M179">
        <v>2073.8270474854289</v>
      </c>
      <c r="N179">
        <v>71.533477544252662</v>
      </c>
      <c r="O179">
        <v>128</v>
      </c>
      <c r="P179">
        <v>41.7</v>
      </c>
      <c r="Q179">
        <v>100</v>
      </c>
      <c r="R179">
        <v>3</v>
      </c>
      <c r="S179" t="s">
        <v>26</v>
      </c>
      <c r="T179" t="s">
        <v>26</v>
      </c>
    </row>
    <row r="180" spans="1:20">
      <c r="A180" s="124">
        <v>44810</v>
      </c>
      <c r="B180">
        <v>25</v>
      </c>
      <c r="C180" t="s">
        <v>2417</v>
      </c>
      <c r="D180">
        <v>2662.2</v>
      </c>
      <c r="H180">
        <v>206.29599999999999</v>
      </c>
      <c r="I180">
        <v>0.33212999999999998</v>
      </c>
      <c r="J180">
        <v>205.96386999999999</v>
      </c>
      <c r="K180">
        <v>1738.6143033520866</v>
      </c>
      <c r="L180" s="39">
        <v>65.307426314780514</v>
      </c>
      <c r="M180">
        <v>1716.4799124313072</v>
      </c>
      <c r="N180">
        <v>64.4759940061343</v>
      </c>
      <c r="O180">
        <v>128</v>
      </c>
      <c r="P180">
        <v>41.7</v>
      </c>
      <c r="Q180">
        <v>100</v>
      </c>
      <c r="R180">
        <v>3</v>
      </c>
      <c r="S180" t="s">
        <v>26</v>
      </c>
      <c r="T180" t="s">
        <v>26</v>
      </c>
    </row>
    <row r="181" spans="1:20">
      <c r="A181" s="124">
        <v>44810</v>
      </c>
      <c r="B181">
        <v>26</v>
      </c>
      <c r="C181" t="s">
        <v>2418</v>
      </c>
      <c r="D181">
        <v>2457.1</v>
      </c>
      <c r="H181">
        <v>206.54910000000001</v>
      </c>
      <c r="I181">
        <v>0.33212999999999998</v>
      </c>
      <c r="J181">
        <v>206.21697</v>
      </c>
      <c r="K181">
        <v>1740.7523811954545</v>
      </c>
      <c r="L181" s="39">
        <v>70.845809336024359</v>
      </c>
      <c r="M181">
        <v>1718.5892195920067</v>
      </c>
      <c r="N181">
        <v>69.943804468357285</v>
      </c>
      <c r="O181">
        <v>128</v>
      </c>
      <c r="P181">
        <v>41.7</v>
      </c>
      <c r="Q181">
        <v>100</v>
      </c>
      <c r="R181">
        <v>3</v>
      </c>
      <c r="S181" t="s">
        <v>26</v>
      </c>
      <c r="T181" t="s">
        <v>26</v>
      </c>
    </row>
    <row r="182" spans="1:20">
      <c r="A182" s="124">
        <v>44810</v>
      </c>
      <c r="B182">
        <v>27</v>
      </c>
      <c r="C182" t="s">
        <v>2419</v>
      </c>
      <c r="D182">
        <v>2465.1</v>
      </c>
      <c r="H182">
        <v>151.28630000000001</v>
      </c>
      <c r="I182">
        <v>0.33212999999999998</v>
      </c>
      <c r="J182">
        <v>150.95417</v>
      </c>
      <c r="K182">
        <v>1273.9164734812498</v>
      </c>
      <c r="L182" s="39">
        <v>51.678085005932815</v>
      </c>
      <c r="M182">
        <v>1258.0352102664447</v>
      </c>
      <c r="N182">
        <v>51.033840828625401</v>
      </c>
      <c r="O182">
        <v>128</v>
      </c>
      <c r="P182">
        <v>41.7</v>
      </c>
      <c r="Q182">
        <v>100</v>
      </c>
      <c r="R182">
        <v>3</v>
      </c>
      <c r="S182" t="s">
        <v>26</v>
      </c>
      <c r="T182" t="s">
        <v>26</v>
      </c>
    </row>
    <row r="183" spans="1:20">
      <c r="A183" s="124">
        <v>44810</v>
      </c>
      <c r="B183">
        <v>28</v>
      </c>
      <c r="C183" t="s">
        <v>2420</v>
      </c>
      <c r="D183">
        <v>2163.1</v>
      </c>
      <c r="H183">
        <v>131.9691</v>
      </c>
      <c r="I183">
        <v>0.33212999999999998</v>
      </c>
      <c r="J183">
        <v>131.63696999999999</v>
      </c>
      <c r="K183">
        <v>1110.7332363579617</v>
      </c>
      <c r="L183" s="39">
        <v>51.349139492300942</v>
      </c>
      <c r="M183">
        <v>1097.0478207577019</v>
      </c>
      <c r="N183">
        <v>50.716463444024868</v>
      </c>
      <c r="O183">
        <v>128</v>
      </c>
      <c r="P183">
        <v>41.7</v>
      </c>
      <c r="Q183">
        <v>100</v>
      </c>
      <c r="R183">
        <v>3</v>
      </c>
      <c r="S183" t="s">
        <v>26</v>
      </c>
      <c r="T183" t="s">
        <v>26</v>
      </c>
    </row>
    <row r="184" spans="1:20">
      <c r="A184" s="124">
        <v>44810</v>
      </c>
      <c r="B184">
        <v>29</v>
      </c>
      <c r="C184" t="s">
        <v>2320</v>
      </c>
      <c r="H184">
        <v>0.45579999999999998</v>
      </c>
      <c r="I184">
        <v>0.33212999999999998</v>
      </c>
      <c r="J184">
        <v>0.12367</v>
      </c>
      <c r="M184">
        <v>1.0306519816819317</v>
      </c>
      <c r="O184">
        <v>128</v>
      </c>
      <c r="P184">
        <v>41.7</v>
      </c>
      <c r="Q184">
        <v>100</v>
      </c>
      <c r="R184">
        <v>3</v>
      </c>
      <c r="S184" t="s">
        <v>26</v>
      </c>
      <c r="T184" t="s">
        <v>26</v>
      </c>
    </row>
    <row r="185" spans="1:20">
      <c r="A185" s="124">
        <v>44810</v>
      </c>
      <c r="B185">
        <v>30</v>
      </c>
      <c r="C185" t="s">
        <v>2421</v>
      </c>
      <c r="D185">
        <v>2217.6</v>
      </c>
      <c r="G185">
        <v>2217.1564800000001</v>
      </c>
      <c r="H185">
        <v>263.4246</v>
      </c>
      <c r="I185">
        <v>0.33212999999999998</v>
      </c>
      <c r="J185">
        <v>263.09246999999999</v>
      </c>
      <c r="K185">
        <v>2221.2116715173211</v>
      </c>
      <c r="L185" s="39">
        <v>100.18290055545927</v>
      </c>
      <c r="M185">
        <v>2192.5832907826812</v>
      </c>
      <c r="N185">
        <v>98.871901640633169</v>
      </c>
      <c r="O185">
        <v>128</v>
      </c>
      <c r="P185">
        <v>41.7</v>
      </c>
      <c r="Q185">
        <v>100</v>
      </c>
      <c r="R185">
        <v>3</v>
      </c>
      <c r="S185" t="s">
        <v>26</v>
      </c>
      <c r="T185" t="s">
        <v>26</v>
      </c>
    </row>
    <row r="186" spans="1:20">
      <c r="A186" s="124">
        <v>44810</v>
      </c>
      <c r="B186">
        <v>31</v>
      </c>
      <c r="C186" t="s">
        <v>2322</v>
      </c>
      <c r="H186">
        <v>0.50890000000000002</v>
      </c>
      <c r="I186">
        <v>0.33212999999999998</v>
      </c>
      <c r="J186">
        <v>0.17677000000000004</v>
      </c>
      <c r="M186">
        <v>1.4731814571190678</v>
      </c>
      <c r="O186">
        <v>128</v>
      </c>
      <c r="P186">
        <v>41.7</v>
      </c>
      <c r="Q186">
        <v>100</v>
      </c>
      <c r="R186">
        <v>3</v>
      </c>
      <c r="S186" t="s">
        <v>26</v>
      </c>
      <c r="T186" t="s">
        <v>26</v>
      </c>
    </row>
    <row r="187" spans="1:20">
      <c r="A187" s="124"/>
    </row>
  </sheetData>
  <mergeCells count="4">
    <mergeCell ref="K3:L3"/>
    <mergeCell ref="M3:N3"/>
    <mergeCell ref="AJ4:AJ6"/>
    <mergeCell ref="X6:Y6"/>
  </mergeCells>
  <phoneticPr fontId="17"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cup photo labels</vt:lpstr>
      <vt:lpstr>notes</vt:lpstr>
      <vt:lpstr>prep brines</vt:lpstr>
      <vt:lpstr>Schedule and logs</vt:lpstr>
      <vt:lpstr>sample processing comments</vt:lpstr>
      <vt:lpstr>mass filt</vt:lpstr>
      <vt:lpstr>pH_Sal</vt:lpstr>
      <vt:lpstr>PIC weights</vt:lpstr>
      <vt:lpstr>PIC data</vt:lpstr>
      <vt:lpstr>CHN raw data</vt:lpstr>
      <vt:lpstr>BSi data</vt:lpstr>
      <vt:lpstr>main</vt:lpstr>
      <vt:lpstr>report_47_flagged</vt:lpstr>
      <vt:lpstr>netcdf_format</vt:lpstr>
      <vt:lpstr>depths</vt:lpstr>
      <vt:lpstr>plots</vt:lpstr>
      <vt:lpstr>'cup photo labels'!Print_Area</vt:lpstr>
    </vt:vector>
  </TitlesOfParts>
  <Company>University of Tasmania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Cathryn Wynn-Edwards</dc:creator>
  <cp:lastModifiedBy>Cathryn Wynn-Edwards</cp:lastModifiedBy>
  <cp:lastPrinted>2022-05-12T22:58:29Z</cp:lastPrinted>
  <dcterms:created xsi:type="dcterms:W3CDTF">2018-04-15T23:35:50Z</dcterms:created>
  <dcterms:modified xsi:type="dcterms:W3CDTF">2022-10-05T00:38:45Z</dcterms:modified>
</cp:coreProperties>
</file>